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4" sheetId="2" state="visible" r:id="rId3"/>
    <sheet name="Sheet5" sheetId="3" state="visible" r:id="rId4"/>
    <sheet name="Sheet2" sheetId="4" state="visible" r:id="rId5"/>
    <sheet name="Sheet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<sst xmlns="http://schemas.openxmlformats.org/spreadsheetml/2006/main" count="4529" uniqueCount="2415">
  <si>
    <t xml:space="preserve">the</t>
  </si>
  <si>
    <t xml:space="preserve">(definite article,adverb)</t>
  </si>
  <si>
    <t xml:space="preserve">of</t>
  </si>
  <si>
    <t xml:space="preserve">(preposition,auxiliary verb)</t>
  </si>
  <si>
    <t xml:space="preserve">and</t>
  </si>
  <si>
    <t xml:space="preserve">(conjunction)</t>
  </si>
  <si>
    <t xml:space="preserve">to</t>
  </si>
  <si>
    <t xml:space="preserve">(preposition,adverb)</t>
  </si>
  <si>
    <t xml:space="preserve">a</t>
  </si>
  <si>
    <t xml:space="preserve">(indefinite article,noun,preposition)</t>
  </si>
  <si>
    <t xml:space="preserve">in</t>
  </si>
  <si>
    <t xml:space="preserve">is</t>
  </si>
  <si>
    <t xml:space="preserve">(verb)</t>
  </si>
  <si>
    <t xml:space="preserve">you</t>
  </si>
  <si>
    <t xml:space="preserve">(pronoun,noun)</t>
  </si>
  <si>
    <t xml:space="preserve">are</t>
  </si>
  <si>
    <t xml:space="preserve">for</t>
  </si>
  <si>
    <t xml:space="preserve">(preposition,conjunction)</t>
  </si>
  <si>
    <t xml:space="preserve">that</t>
  </si>
  <si>
    <t xml:space="preserve">(pronoun,adjective,adverb,conjunction)</t>
  </si>
  <si>
    <t xml:space="preserve">or</t>
  </si>
  <si>
    <t xml:space="preserve">it</t>
  </si>
  <si>
    <t xml:space="preserve">as</t>
  </si>
  <si>
    <t xml:space="preserve">(adverb,conjunction,pronoun,preposition)</t>
  </si>
  <si>
    <t xml:space="preserve">d</t>
  </si>
  <si>
    <t xml:space="preserve">be</t>
  </si>
  <si>
    <t xml:space="preserve">(verb,auxiliary verb)</t>
  </si>
  <si>
    <t xml:space="preserve">on</t>
  </si>
  <si>
    <t xml:space="preserve">(preposition,adverb,adjective)</t>
  </si>
  <si>
    <t xml:space="preserve">your</t>
  </si>
  <si>
    <t xml:space="preserve">(pronoun)</t>
  </si>
  <si>
    <t xml:space="preserve">with</t>
  </si>
  <si>
    <t xml:space="preserve">(preposition)</t>
  </si>
  <si>
    <t xml:space="preserve">can</t>
  </si>
  <si>
    <t xml:space="preserve">(auxiliary verb,noun)</t>
  </si>
  <si>
    <t xml:space="preserve">have</t>
  </si>
  <si>
    <t xml:space="preserve">this</t>
  </si>
  <si>
    <t xml:space="preserve">(pronoun,adjective,adverb)</t>
  </si>
  <si>
    <t xml:space="preserve">an</t>
  </si>
  <si>
    <t xml:space="preserve">(indefinite article)</t>
  </si>
  <si>
    <t xml:space="preserve">by</t>
  </si>
  <si>
    <t xml:space="preserve">not</t>
  </si>
  <si>
    <t xml:space="preserve">(adverb)</t>
  </si>
  <si>
    <t xml:space="preserve">but</t>
  </si>
  <si>
    <t xml:space="preserve">(conjunction,preposition,adverb,noun)</t>
  </si>
  <si>
    <t xml:space="preserve">at</t>
  </si>
  <si>
    <t xml:space="preserve">from</t>
  </si>
  <si>
    <t xml:space="preserve">I</t>
  </si>
  <si>
    <t xml:space="preserve">they</t>
  </si>
  <si>
    <t xml:space="preserve">more</t>
  </si>
  <si>
    <t xml:space="preserve">(adjective,adverb)</t>
  </si>
  <si>
    <t xml:space="preserve">will</t>
  </si>
  <si>
    <t xml:space="preserve">if</t>
  </si>
  <si>
    <t xml:space="preserve">(conjunction,noun)</t>
  </si>
  <si>
    <t xml:space="preserve">some</t>
  </si>
  <si>
    <t xml:space="preserve">(adjective,pronoun,adverb)</t>
  </si>
  <si>
    <t xml:space="preserve">there</t>
  </si>
  <si>
    <t xml:space="preserve">(adverb,pronoun,noun,adjective)</t>
  </si>
  <si>
    <t xml:space="preserve">what</t>
  </si>
  <si>
    <t xml:space="preserve">(pronoun,adjective,adverb,interjection)</t>
  </si>
  <si>
    <t xml:space="preserve">about</t>
  </si>
  <si>
    <t xml:space="preserve">which</t>
  </si>
  <si>
    <t xml:space="preserve">(pronoun,adjective)</t>
  </si>
  <si>
    <t xml:space="preserve">when</t>
  </si>
  <si>
    <t xml:space="preserve">(adverb,conjunction)</t>
  </si>
  <si>
    <t xml:space="preserve">one</t>
  </si>
  <si>
    <t xml:space="preserve">(adjective,noun,pronoun)</t>
  </si>
  <si>
    <t xml:space="preserve">their</t>
  </si>
  <si>
    <t xml:space="preserve">all</t>
  </si>
  <si>
    <t xml:space="preserve">(adjective,pronoun,noun,adverb)</t>
  </si>
  <si>
    <t xml:space="preserve">also</t>
  </si>
  <si>
    <t xml:space="preserve">how</t>
  </si>
  <si>
    <t xml:space="preserve">many</t>
  </si>
  <si>
    <t xml:space="preserve">do</t>
  </si>
  <si>
    <t xml:space="preserve">(auxiliary verb)</t>
  </si>
  <si>
    <t xml:space="preserve">has</t>
  </si>
  <si>
    <t xml:space="preserve">most</t>
  </si>
  <si>
    <t xml:space="preserve">(adjective,noun,adverb)</t>
  </si>
  <si>
    <t xml:space="preserve">people</t>
  </si>
  <si>
    <t xml:space="preserve">(noun)</t>
  </si>
  <si>
    <t xml:space="preserve">other</t>
  </si>
  <si>
    <t xml:space="preserve">(adjective,noun,pronoun,adverb)</t>
  </si>
  <si>
    <t xml:space="preserve">time</t>
  </si>
  <si>
    <t xml:space="preserve">(noun,adjective,verb)</t>
  </si>
  <si>
    <t xml:space="preserve">so</t>
  </si>
  <si>
    <t xml:space="preserve">(adverb,conjunction,pronoun,adjective)</t>
  </si>
  <si>
    <t xml:space="preserve">was</t>
  </si>
  <si>
    <t xml:space="preserve">(past,verb)</t>
  </si>
  <si>
    <t xml:space="preserve">we</t>
  </si>
  <si>
    <t xml:space="preserve">these</t>
  </si>
  <si>
    <t xml:space="preserve">may</t>
  </si>
  <si>
    <t xml:space="preserve">like</t>
  </si>
  <si>
    <t xml:space="preserve">(preposition,verb,conjunction,adverb)</t>
  </si>
  <si>
    <t xml:space="preserve">use</t>
  </si>
  <si>
    <t xml:space="preserve">(verb,noun)</t>
  </si>
  <si>
    <t xml:space="preserve">into</t>
  </si>
  <si>
    <t xml:space="preserve">than</t>
  </si>
  <si>
    <t xml:space="preserve">up</t>
  </si>
  <si>
    <t xml:space="preserve">(adverb,preposition,adjective,noun)</t>
  </si>
  <si>
    <t xml:space="preserve">out</t>
  </si>
  <si>
    <t xml:space="preserve">(adverb,preposition,adjective,interjection)</t>
  </si>
  <si>
    <t xml:space="preserve">who</t>
  </si>
  <si>
    <t xml:space="preserve">them</t>
  </si>
  <si>
    <t xml:space="preserve">make</t>
  </si>
  <si>
    <t xml:space="preserve">because</t>
  </si>
  <si>
    <t xml:space="preserve">such</t>
  </si>
  <si>
    <t xml:space="preserve">through</t>
  </si>
  <si>
    <t xml:space="preserve">get</t>
  </si>
  <si>
    <t xml:space="preserve">work</t>
  </si>
  <si>
    <t xml:space="preserve">even</t>
  </si>
  <si>
    <t xml:space="preserve">(adjective,verb,adverb)</t>
  </si>
  <si>
    <t xml:space="preserve">different</t>
  </si>
  <si>
    <t xml:space="preserve">(adjective)</t>
  </si>
  <si>
    <t xml:space="preserve">its</t>
  </si>
  <si>
    <t xml:space="preserve">no</t>
  </si>
  <si>
    <t xml:space="preserve">(adverb,adjective,noun)</t>
  </si>
  <si>
    <t xml:space="preserve">our</t>
  </si>
  <si>
    <t xml:space="preserve">new</t>
  </si>
  <si>
    <t xml:space="preserve">film</t>
  </si>
  <si>
    <t xml:space="preserve">(noun,verb)</t>
  </si>
  <si>
    <t xml:space="preserve">just</t>
  </si>
  <si>
    <t xml:space="preserve">only</t>
  </si>
  <si>
    <t xml:space="preserve">(adverb,adjective,conjunction)</t>
  </si>
  <si>
    <t xml:space="preserve">see</t>
  </si>
  <si>
    <t xml:space="preserve">used</t>
  </si>
  <si>
    <t xml:space="preserve">good</t>
  </si>
  <si>
    <t xml:space="preserve">(adjective,noun,adverb,interjection)</t>
  </si>
  <si>
    <t xml:space="preserve">water</t>
  </si>
  <si>
    <t xml:space="preserve">(noun,verb,adjective)</t>
  </si>
  <si>
    <t xml:space="preserve">been</t>
  </si>
  <si>
    <t xml:space="preserve">need</t>
  </si>
  <si>
    <t xml:space="preserve">should</t>
  </si>
  <si>
    <t xml:space="preserve">very</t>
  </si>
  <si>
    <t xml:space="preserve">any</t>
  </si>
  <si>
    <t xml:space="preserve">history</t>
  </si>
  <si>
    <t xml:space="preserve">often</t>
  </si>
  <si>
    <t xml:space="preserve">way</t>
  </si>
  <si>
    <t xml:space="preserve">well</t>
  </si>
  <si>
    <t xml:space="preserve">(adverb,verb,noun,interjection)</t>
  </si>
  <si>
    <t xml:space="preserve">art</t>
  </si>
  <si>
    <t xml:space="preserve">know</t>
  </si>
  <si>
    <t xml:space="preserve">were</t>
  </si>
  <si>
    <t xml:space="preserve">then</t>
  </si>
  <si>
    <t xml:space="preserve">(adverb,adjective)</t>
  </si>
  <si>
    <t xml:space="preserve">my</t>
  </si>
  <si>
    <t xml:space="preserve">first</t>
  </si>
  <si>
    <t xml:space="preserve">would</t>
  </si>
  <si>
    <t xml:space="preserve">money</t>
  </si>
  <si>
    <t xml:space="preserve">(noun,adjective)</t>
  </si>
  <si>
    <t xml:space="preserve">each</t>
  </si>
  <si>
    <t xml:space="preserve">over</t>
  </si>
  <si>
    <t xml:space="preserve">(preposition,adjective,noun)</t>
  </si>
  <si>
    <t xml:space="preserve">world</t>
  </si>
  <si>
    <t xml:space="preserve">information</t>
  </si>
  <si>
    <t xml:space="preserve">map</t>
  </si>
  <si>
    <t xml:space="preserve">find</t>
  </si>
  <si>
    <t xml:space="preserve">where</t>
  </si>
  <si>
    <t xml:space="preserve">(adverb,pronoun,noun)</t>
  </si>
  <si>
    <t xml:space="preserve">much</t>
  </si>
  <si>
    <t xml:space="preserve">take</t>
  </si>
  <si>
    <t xml:space="preserve">two</t>
  </si>
  <si>
    <t xml:space="preserve">want</t>
  </si>
  <si>
    <t xml:space="preserve">important</t>
  </si>
  <si>
    <t xml:space="preserve">family</t>
  </si>
  <si>
    <t xml:space="preserve">those</t>
  </si>
  <si>
    <t xml:space="preserve">example</t>
  </si>
  <si>
    <t xml:space="preserve">while</t>
  </si>
  <si>
    <t xml:space="preserve">(noun,conjunction,preposition,verb)</t>
  </si>
  <si>
    <t xml:space="preserve">he</t>
  </si>
  <si>
    <t xml:space="preserve">look</t>
  </si>
  <si>
    <t xml:space="preserve">(verb,noun,interjection)</t>
  </si>
  <si>
    <t xml:space="preserve">government</t>
  </si>
  <si>
    <t xml:space="preserve">before</t>
  </si>
  <si>
    <t xml:space="preserve">(preposition,adverb,conjunction)</t>
  </si>
  <si>
    <t xml:space="preserve">help</t>
  </si>
  <si>
    <t xml:space="preserve">between</t>
  </si>
  <si>
    <t xml:space="preserve">go</t>
  </si>
  <si>
    <t xml:space="preserve">(verb,noun,adjective,interjection)</t>
  </si>
  <si>
    <t xml:space="preserve">own</t>
  </si>
  <si>
    <t xml:space="preserve">(adjective,verb)</t>
  </si>
  <si>
    <t xml:space="preserve">however</t>
  </si>
  <si>
    <t xml:space="preserve">business</t>
  </si>
  <si>
    <t xml:space="preserve">us</t>
  </si>
  <si>
    <t xml:space="preserve">great</t>
  </si>
  <si>
    <t xml:space="preserve">his</t>
  </si>
  <si>
    <t xml:space="preserve">being</t>
  </si>
  <si>
    <t xml:space="preserve">another</t>
  </si>
  <si>
    <t xml:space="preserve">(adjective,pronoun)</t>
  </si>
  <si>
    <t xml:space="preserve">health</t>
  </si>
  <si>
    <t xml:space="preserve">same</t>
  </si>
  <si>
    <t xml:space="preserve">study</t>
  </si>
  <si>
    <t xml:space="preserve">why</t>
  </si>
  <si>
    <t xml:space="preserve">(adverb,conjunction,noun,interjection)</t>
  </si>
  <si>
    <t xml:space="preserve">few</t>
  </si>
  <si>
    <t xml:space="preserve">game</t>
  </si>
  <si>
    <t xml:space="preserve">might</t>
  </si>
  <si>
    <t xml:space="preserve">think</t>
  </si>
  <si>
    <t xml:space="preserve">(verb,adjective,noun)</t>
  </si>
  <si>
    <t xml:space="preserve">free</t>
  </si>
  <si>
    <t xml:space="preserve">(adjective,adverb,verb)</t>
  </si>
  <si>
    <t xml:space="preserve">too</t>
  </si>
  <si>
    <t xml:space="preserve">had</t>
  </si>
  <si>
    <t xml:space="preserve">hi</t>
  </si>
  <si>
    <t xml:space="preserve">(interjection)</t>
  </si>
  <si>
    <t xml:space="preserve">right</t>
  </si>
  <si>
    <t xml:space="preserve">(adjective,adverb,noun,verb)</t>
  </si>
  <si>
    <t xml:space="preserve">still</t>
  </si>
  <si>
    <t xml:space="preserve">(adjective,noun,adverb,verb)</t>
  </si>
  <si>
    <t xml:space="preserve">system</t>
  </si>
  <si>
    <t xml:space="preserve">after</t>
  </si>
  <si>
    <t xml:space="preserve">(preposition,adjective,adverb)</t>
  </si>
  <si>
    <t xml:space="preserve">computer</t>
  </si>
  <si>
    <t xml:space="preserve">best</t>
  </si>
  <si>
    <t xml:space="preserve">must</t>
  </si>
  <si>
    <t xml:space="preserve">(auxiliary verb,verb,adjective,noun)</t>
  </si>
  <si>
    <t xml:space="preserve">her</t>
  </si>
  <si>
    <t xml:space="preserve">life</t>
  </si>
  <si>
    <t xml:space="preserve">since</t>
  </si>
  <si>
    <t xml:space="preserve">could</t>
  </si>
  <si>
    <t xml:space="preserve">does</t>
  </si>
  <si>
    <t xml:space="preserve">now</t>
  </si>
  <si>
    <t xml:space="preserve">(adverb,conjunction,adjective)</t>
  </si>
  <si>
    <t xml:space="preserve">during</t>
  </si>
  <si>
    <t xml:space="preserve">learn</t>
  </si>
  <si>
    <t xml:space="preserve">around</t>
  </si>
  <si>
    <t xml:space="preserve">(adverb,preposition)</t>
  </si>
  <si>
    <t xml:space="preserve">usually</t>
  </si>
  <si>
    <t xml:space="preserve">form</t>
  </si>
  <si>
    <t xml:space="preserve">meat</t>
  </si>
  <si>
    <t xml:space="preserve">air</t>
  </si>
  <si>
    <t xml:space="preserve">day</t>
  </si>
  <si>
    <t xml:space="preserve">place</t>
  </si>
  <si>
    <t xml:space="preserve">become</t>
  </si>
  <si>
    <t xml:space="preserve">number</t>
  </si>
  <si>
    <t xml:space="preserve">public</t>
  </si>
  <si>
    <t xml:space="preserve">(adjective,noun)</t>
  </si>
  <si>
    <t xml:space="preserve">read</t>
  </si>
  <si>
    <t xml:space="preserve">keep</t>
  </si>
  <si>
    <t xml:space="preserve">part</t>
  </si>
  <si>
    <t xml:space="preserve">(noun,verb,adverb)</t>
  </si>
  <si>
    <t xml:space="preserve">start</t>
  </si>
  <si>
    <t xml:space="preserve">year</t>
  </si>
  <si>
    <t xml:space="preserve">every</t>
  </si>
  <si>
    <t xml:space="preserve">field</t>
  </si>
  <si>
    <t xml:space="preserve">large</t>
  </si>
  <si>
    <t xml:space="preserve">once</t>
  </si>
  <si>
    <t xml:space="preserve">available</t>
  </si>
  <si>
    <t xml:space="preserve">down</t>
  </si>
  <si>
    <t xml:space="preserve">(adverb,preposition,adjective,verb)</t>
  </si>
  <si>
    <t xml:space="preserve">give</t>
  </si>
  <si>
    <t xml:space="preserve">fish</t>
  </si>
  <si>
    <t xml:space="preserve">human</t>
  </si>
  <si>
    <t xml:space="preserve">both</t>
  </si>
  <si>
    <t xml:space="preserve">local</t>
  </si>
  <si>
    <t xml:space="preserve">sure</t>
  </si>
  <si>
    <t xml:space="preserve">something</t>
  </si>
  <si>
    <t xml:space="preserve">without</t>
  </si>
  <si>
    <t xml:space="preserve">come</t>
  </si>
  <si>
    <t xml:space="preserve">me</t>
  </si>
  <si>
    <t xml:space="preserve">back</t>
  </si>
  <si>
    <t xml:space="preserve">(noun,adverb,verb,adjective)</t>
  </si>
  <si>
    <t xml:space="preserve">better</t>
  </si>
  <si>
    <t xml:space="preserve">general</t>
  </si>
  <si>
    <t xml:space="preserve">process</t>
  </si>
  <si>
    <t xml:space="preserve">she</t>
  </si>
  <si>
    <t xml:space="preserve">heat</t>
  </si>
  <si>
    <t xml:space="preserve">thanks</t>
  </si>
  <si>
    <t xml:space="preserve">specific</t>
  </si>
  <si>
    <t xml:space="preserve">enough</t>
  </si>
  <si>
    <t xml:space="preserve">(adjective,adverb,interjection)</t>
  </si>
  <si>
    <t xml:space="preserve">long</t>
  </si>
  <si>
    <t xml:space="preserve">lot</t>
  </si>
  <si>
    <t xml:space="preserve">(pronoun,adverb,noun,verb)</t>
  </si>
  <si>
    <t xml:space="preserve">hand</t>
  </si>
  <si>
    <t xml:space="preserve">popular</t>
  </si>
  <si>
    <t xml:space="preserve">small</t>
  </si>
  <si>
    <t xml:space="preserve">though</t>
  </si>
  <si>
    <t xml:space="preserve">(conjunction,adverb)</t>
  </si>
  <si>
    <t xml:space="preserve">experience</t>
  </si>
  <si>
    <t xml:space="preserve">include</t>
  </si>
  <si>
    <t xml:space="preserve">job</t>
  </si>
  <si>
    <t xml:space="preserve">music</t>
  </si>
  <si>
    <t xml:space="preserve">person</t>
  </si>
  <si>
    <t xml:space="preserve">really</t>
  </si>
  <si>
    <t xml:space="preserve">although</t>
  </si>
  <si>
    <t xml:space="preserve">thank</t>
  </si>
  <si>
    <t xml:space="preserve">book</t>
  </si>
  <si>
    <t xml:space="preserve">early</t>
  </si>
  <si>
    <t xml:space="preserve">reading</t>
  </si>
  <si>
    <t xml:space="preserve">end</t>
  </si>
  <si>
    <t xml:space="preserve">method</t>
  </si>
  <si>
    <t xml:space="preserve">never</t>
  </si>
  <si>
    <t xml:space="preserve">less</t>
  </si>
  <si>
    <t xml:space="preserve">(adjective,adverb,preposition)</t>
  </si>
  <si>
    <t xml:space="preserve">play</t>
  </si>
  <si>
    <t xml:space="preserve">able</t>
  </si>
  <si>
    <t xml:space="preserve">data</t>
  </si>
  <si>
    <t xml:space="preserve">feel</t>
  </si>
  <si>
    <t xml:space="preserve">high</t>
  </si>
  <si>
    <t xml:space="preserve">off</t>
  </si>
  <si>
    <t xml:space="preserve">point</t>
  </si>
  <si>
    <t xml:space="preserve">type</t>
  </si>
  <si>
    <t xml:space="preserve">whether</t>
  </si>
  <si>
    <t xml:space="preserve">food</t>
  </si>
  <si>
    <t xml:space="preserve">understanding</t>
  </si>
  <si>
    <t xml:space="preserve">here</t>
  </si>
  <si>
    <t xml:space="preserve">(adverb,interjection)</t>
  </si>
  <si>
    <t xml:space="preserve">home</t>
  </si>
  <si>
    <t xml:space="preserve">(noun,adjective,adverb,verb)</t>
  </si>
  <si>
    <t xml:space="preserve">certain</t>
  </si>
  <si>
    <t xml:space="preserve">economy</t>
  </si>
  <si>
    <t xml:space="preserve">little</t>
  </si>
  <si>
    <t xml:space="preserve">theory</t>
  </si>
  <si>
    <t xml:space="preserve">tonight</t>
  </si>
  <si>
    <t xml:space="preserve">(adverb,noun)</t>
  </si>
  <si>
    <t xml:space="preserve">law</t>
  </si>
  <si>
    <t xml:space="preserve">put</t>
  </si>
  <si>
    <t xml:space="preserve">under</t>
  </si>
  <si>
    <t xml:space="preserve">value</t>
  </si>
  <si>
    <t xml:space="preserve">always</t>
  </si>
  <si>
    <t xml:space="preserve">body</t>
  </si>
  <si>
    <t xml:space="preserve">common</t>
  </si>
  <si>
    <t xml:space="preserve">market</t>
  </si>
  <si>
    <t xml:space="preserve">set</t>
  </si>
  <si>
    <t xml:space="preserve">(verb,noun,adjective)</t>
  </si>
  <si>
    <t xml:space="preserve">bird</t>
  </si>
  <si>
    <t xml:space="preserve">guide</t>
  </si>
  <si>
    <t xml:space="preserve">provide</t>
  </si>
  <si>
    <t xml:space="preserve">change</t>
  </si>
  <si>
    <t xml:space="preserve">interest</t>
  </si>
  <si>
    <t xml:space="preserve">literature</t>
  </si>
  <si>
    <t xml:space="preserve">sometimes</t>
  </si>
  <si>
    <t xml:space="preserve">problem</t>
  </si>
  <si>
    <t xml:space="preserve">say</t>
  </si>
  <si>
    <t xml:space="preserve">(verb,interjection,noun)</t>
  </si>
  <si>
    <t xml:space="preserve">next</t>
  </si>
  <si>
    <t xml:space="preserve">(adjective,adverb,noun)</t>
  </si>
  <si>
    <t xml:space="preserve">create</t>
  </si>
  <si>
    <t xml:space="preserve">simple</t>
  </si>
  <si>
    <t xml:space="preserve">software</t>
  </si>
  <si>
    <t xml:space="preserve">state</t>
  </si>
  <si>
    <t xml:space="preserve">together</t>
  </si>
  <si>
    <t xml:space="preserve">control</t>
  </si>
  <si>
    <t xml:space="preserve">knowledge</t>
  </si>
  <si>
    <t xml:space="preserve">power</t>
  </si>
  <si>
    <t xml:space="preserve">radio</t>
  </si>
  <si>
    <t xml:space="preserve">ability</t>
  </si>
  <si>
    <t xml:space="preserve">basic</t>
  </si>
  <si>
    <t xml:space="preserve">course</t>
  </si>
  <si>
    <t xml:space="preserve">economics</t>
  </si>
  <si>
    <t xml:space="preserve">hard</t>
  </si>
  <si>
    <t xml:space="preserve">add</t>
  </si>
  <si>
    <t xml:space="preserve">company</t>
  </si>
  <si>
    <t xml:space="preserve">known</t>
  </si>
  <si>
    <t xml:space="preserve">love</t>
  </si>
  <si>
    <t xml:space="preserve">past</t>
  </si>
  <si>
    <t xml:space="preserve">(adjective,noun,preposition,adverb)</t>
  </si>
  <si>
    <t xml:space="preserve">price</t>
  </si>
  <si>
    <t xml:space="preserve">size</t>
  </si>
  <si>
    <t xml:space="preserve">away</t>
  </si>
  <si>
    <t xml:space="preserve">big</t>
  </si>
  <si>
    <t xml:space="preserve">internet</t>
  </si>
  <si>
    <t xml:space="preserve">possible</t>
  </si>
  <si>
    <t xml:space="preserve">television</t>
  </si>
  <si>
    <t xml:space="preserve">three</t>
  </si>
  <si>
    <t xml:space="preserve">(number)</t>
  </si>
  <si>
    <t xml:space="preserve">understand</t>
  </si>
  <si>
    <t xml:space="preserve">various</t>
  </si>
  <si>
    <t xml:space="preserve">yourself</t>
  </si>
  <si>
    <t xml:space="preserve">card</t>
  </si>
  <si>
    <t xml:space="preserve">difficult</t>
  </si>
  <si>
    <t xml:space="preserve">including</t>
  </si>
  <si>
    <t xml:space="preserve">list</t>
  </si>
  <si>
    <t xml:space="preserve">mind</t>
  </si>
  <si>
    <t xml:space="preserve">particular</t>
  </si>
  <si>
    <t xml:space="preserve">science</t>
  </si>
  <si>
    <t xml:space="preserve">trade</t>
  </si>
  <si>
    <t xml:space="preserve">consider</t>
  </si>
  <si>
    <t xml:space="preserve">either</t>
  </si>
  <si>
    <t xml:space="preserve">(conjunction,adjective)</t>
  </si>
  <si>
    <t xml:space="preserve">library</t>
  </si>
  <si>
    <t xml:space="preserve">likely</t>
  </si>
  <si>
    <t xml:space="preserve">nature</t>
  </si>
  <si>
    <t xml:space="preserve">fact</t>
  </si>
  <si>
    <t xml:space="preserve">line</t>
  </si>
  <si>
    <t xml:space="preserve">product</t>
  </si>
  <si>
    <t xml:space="preserve">care</t>
  </si>
  <si>
    <t xml:space="preserve">group</t>
  </si>
  <si>
    <t xml:space="preserve">idea</t>
  </si>
  <si>
    <t xml:space="preserve">risk</t>
  </si>
  <si>
    <t xml:space="preserve">several</t>
  </si>
  <si>
    <t xml:space="preserve">someone</t>
  </si>
  <si>
    <t xml:space="preserve">temperature</t>
  </si>
  <si>
    <t xml:space="preserve">united</t>
  </si>
  <si>
    <t xml:space="preserve">word</t>
  </si>
  <si>
    <t xml:space="preserve">(noun,verb,interjection)</t>
  </si>
  <si>
    <t xml:space="preserve">fat</t>
  </si>
  <si>
    <t xml:space="preserve">force</t>
  </si>
  <si>
    <t xml:space="preserve">key</t>
  </si>
  <si>
    <t xml:space="preserve">light</t>
  </si>
  <si>
    <t xml:space="preserve">simply</t>
  </si>
  <si>
    <t xml:space="preserve">today</t>
  </si>
  <si>
    <t xml:space="preserve">training</t>
  </si>
  <si>
    <t xml:space="preserve">until</t>
  </si>
  <si>
    <t xml:space="preserve">major</t>
  </si>
  <si>
    <t xml:space="preserve">(adjective,noun,verb)</t>
  </si>
  <si>
    <t xml:space="preserve">name</t>
  </si>
  <si>
    <t xml:space="preserve">personal</t>
  </si>
  <si>
    <t xml:space="preserve">school</t>
  </si>
  <si>
    <t xml:space="preserve">top</t>
  </si>
  <si>
    <t xml:space="preserve">current</t>
  </si>
  <si>
    <t xml:space="preserve">generally</t>
  </si>
  <si>
    <t xml:space="preserve">historical</t>
  </si>
  <si>
    <t xml:space="preserve">investment</t>
  </si>
  <si>
    <t xml:space="preserve">left</t>
  </si>
  <si>
    <t xml:space="preserve">national</t>
  </si>
  <si>
    <t xml:space="preserve">amount</t>
  </si>
  <si>
    <t xml:space="preserve">level</t>
  </si>
  <si>
    <t xml:space="preserve">order</t>
  </si>
  <si>
    <t xml:space="preserve">practice</t>
  </si>
  <si>
    <t xml:space="preserve">research</t>
  </si>
  <si>
    <t xml:space="preserve">sense</t>
  </si>
  <si>
    <t xml:space="preserve">service</t>
  </si>
  <si>
    <t xml:space="preserve">area</t>
  </si>
  <si>
    <t xml:space="preserve">cut</t>
  </si>
  <si>
    <t xml:space="preserve">hot</t>
  </si>
  <si>
    <t xml:space="preserve">instead</t>
  </si>
  <si>
    <t xml:space="preserve">least</t>
  </si>
  <si>
    <t xml:space="preserve">natural</t>
  </si>
  <si>
    <t xml:space="preserve">physical</t>
  </si>
  <si>
    <t xml:space="preserve">piece</t>
  </si>
  <si>
    <t xml:space="preserve">show</t>
  </si>
  <si>
    <t xml:space="preserve">society</t>
  </si>
  <si>
    <t xml:space="preserve">try</t>
  </si>
  <si>
    <t xml:space="preserve">check</t>
  </si>
  <si>
    <t xml:space="preserve">choose</t>
  </si>
  <si>
    <t xml:space="preserve">develop</t>
  </si>
  <si>
    <t xml:space="preserve">second</t>
  </si>
  <si>
    <t xml:space="preserve">(number,noun)</t>
  </si>
  <si>
    <t xml:space="preserve">useful</t>
  </si>
  <si>
    <t xml:space="preserve">web</t>
  </si>
  <si>
    <t xml:space="preserve">activity</t>
  </si>
  <si>
    <t xml:space="preserve">boss</t>
  </si>
  <si>
    <t xml:space="preserve">short</t>
  </si>
  <si>
    <t xml:space="preserve">story</t>
  </si>
  <si>
    <t xml:space="preserve">call</t>
  </si>
  <si>
    <t xml:space="preserve">industry</t>
  </si>
  <si>
    <t xml:space="preserve">last</t>
  </si>
  <si>
    <t xml:space="preserve">media</t>
  </si>
  <si>
    <t xml:space="preserve">mental</t>
  </si>
  <si>
    <t xml:space="preserve">move</t>
  </si>
  <si>
    <t xml:space="preserve">pay</t>
  </si>
  <si>
    <t xml:space="preserve">sport</t>
  </si>
  <si>
    <t xml:space="preserve">thing</t>
  </si>
  <si>
    <t xml:space="preserve">actually</t>
  </si>
  <si>
    <t xml:space="preserve">against</t>
  </si>
  <si>
    <t xml:space="preserve">far</t>
  </si>
  <si>
    <t xml:space="preserve">fun</t>
  </si>
  <si>
    <t xml:space="preserve">house</t>
  </si>
  <si>
    <t xml:space="preserve">let</t>
  </si>
  <si>
    <t xml:space="preserve">page</t>
  </si>
  <si>
    <t xml:space="preserve">remember</t>
  </si>
  <si>
    <t xml:space="preserve">term</t>
  </si>
  <si>
    <t xml:space="preserve">test</t>
  </si>
  <si>
    <t xml:space="preserve">within</t>
  </si>
  <si>
    <t xml:space="preserve">along</t>
  </si>
  <si>
    <t xml:space="preserve">answer</t>
  </si>
  <si>
    <t xml:space="preserve">increase</t>
  </si>
  <si>
    <t xml:space="preserve">oven</t>
  </si>
  <si>
    <t xml:space="preserve">quite</t>
  </si>
  <si>
    <t xml:space="preserve">scared</t>
  </si>
  <si>
    <t xml:space="preserve">single</t>
  </si>
  <si>
    <t xml:space="preserve">sound</t>
  </si>
  <si>
    <t xml:space="preserve">again</t>
  </si>
  <si>
    <t xml:space="preserve">community</t>
  </si>
  <si>
    <t xml:space="preserve">definition</t>
  </si>
  <si>
    <t xml:space="preserve">focus</t>
  </si>
  <si>
    <t xml:space="preserve">individual</t>
  </si>
  <si>
    <t xml:space="preserve">matter</t>
  </si>
  <si>
    <t xml:space="preserve">safety</t>
  </si>
  <si>
    <t xml:space="preserve">turn</t>
  </si>
  <si>
    <t xml:space="preserve">everything</t>
  </si>
  <si>
    <t xml:space="preserve">kind</t>
  </si>
  <si>
    <t xml:space="preserve">quality</t>
  </si>
  <si>
    <t xml:space="preserve">soil</t>
  </si>
  <si>
    <t xml:space="preserve">ask</t>
  </si>
  <si>
    <t xml:space="preserve">board</t>
  </si>
  <si>
    <t xml:space="preserve">buy</t>
  </si>
  <si>
    <t xml:space="preserve">development</t>
  </si>
  <si>
    <t xml:space="preserve">guard</t>
  </si>
  <si>
    <t xml:space="preserve">hold</t>
  </si>
  <si>
    <t xml:space="preserve">language</t>
  </si>
  <si>
    <t xml:space="preserve">later</t>
  </si>
  <si>
    <t xml:space="preserve">main</t>
  </si>
  <si>
    <t xml:space="preserve">offer</t>
  </si>
  <si>
    <t xml:space="preserve">oil</t>
  </si>
  <si>
    <t xml:space="preserve">picture</t>
  </si>
  <si>
    <t xml:space="preserve">potential</t>
  </si>
  <si>
    <t xml:space="preserve">professional</t>
  </si>
  <si>
    <t xml:space="preserve">rather</t>
  </si>
  <si>
    <t xml:space="preserve">access</t>
  </si>
  <si>
    <t xml:space="preserve">additional</t>
  </si>
  <si>
    <t xml:space="preserve">almost</t>
  </si>
  <si>
    <t xml:space="preserve">especially</t>
  </si>
  <si>
    <t xml:space="preserve">garden</t>
  </si>
  <si>
    <t xml:space="preserve">international</t>
  </si>
  <si>
    <t xml:space="preserve">lower</t>
  </si>
  <si>
    <t xml:space="preserve">management</t>
  </si>
  <si>
    <t xml:space="preserve">open</t>
  </si>
  <si>
    <t xml:space="preserve">(adjective,verb,noun)</t>
  </si>
  <si>
    <t xml:space="preserve">player</t>
  </si>
  <si>
    <t xml:space="preserve">range</t>
  </si>
  <si>
    <t xml:space="preserve">rate</t>
  </si>
  <si>
    <t xml:space="preserve">reason</t>
  </si>
  <si>
    <t xml:space="preserve">travel</t>
  </si>
  <si>
    <t xml:space="preserve">variety</t>
  </si>
  <si>
    <t xml:space="preserve">video</t>
  </si>
  <si>
    <t xml:space="preserve">week</t>
  </si>
  <si>
    <t xml:space="preserve">above</t>
  </si>
  <si>
    <t xml:space="preserve">according</t>
  </si>
  <si>
    <t xml:space="preserve">cook</t>
  </si>
  <si>
    <t xml:space="preserve">determine</t>
  </si>
  <si>
    <t xml:space="preserve">future</t>
  </si>
  <si>
    <t xml:space="preserve">site</t>
  </si>
  <si>
    <t xml:space="preserve">alternative</t>
  </si>
  <si>
    <t xml:space="preserve">demand</t>
  </si>
  <si>
    <t xml:space="preserve">ever</t>
  </si>
  <si>
    <t xml:space="preserve">exercise</t>
  </si>
  <si>
    <t xml:space="preserve">following</t>
  </si>
  <si>
    <t xml:space="preserve">(preposition,noun,adjective)</t>
  </si>
  <si>
    <t xml:space="preserve">image</t>
  </si>
  <si>
    <t xml:space="preserve">quickly</t>
  </si>
  <si>
    <t xml:space="preserve">special</t>
  </si>
  <si>
    <t xml:space="preserve">working</t>
  </si>
  <si>
    <t xml:space="preserve">case</t>
  </si>
  <si>
    <t xml:space="preserve">cause</t>
  </si>
  <si>
    <t xml:space="preserve">coast</t>
  </si>
  <si>
    <t xml:space="preserve">probably</t>
  </si>
  <si>
    <t xml:space="preserve">security</t>
  </si>
  <si>
    <t xml:space="preserve">حقيقة</t>
  </si>
  <si>
    <t xml:space="preserve">whole</t>
  </si>
  <si>
    <t xml:space="preserve">action</t>
  </si>
  <si>
    <t xml:space="preserve">age</t>
  </si>
  <si>
    <t xml:space="preserve">among</t>
  </si>
  <si>
    <t xml:space="preserve">bad</t>
  </si>
  <si>
    <t xml:space="preserve">(noun,adverb,adjective)</t>
  </si>
  <si>
    <t xml:space="preserve">boat</t>
  </si>
  <si>
    <t xml:space="preserve">country</t>
  </si>
  <si>
    <t xml:space="preserve">dance</t>
  </si>
  <si>
    <t xml:space="preserve">exam</t>
  </si>
  <si>
    <t xml:space="preserve">excuse</t>
  </si>
  <si>
    <t xml:space="preserve">grow</t>
  </si>
  <si>
    <t xml:space="preserve">movie</t>
  </si>
  <si>
    <t xml:space="preserve">organization</t>
  </si>
  <si>
    <t xml:space="preserve">record</t>
  </si>
  <si>
    <t xml:space="preserve">result</t>
  </si>
  <si>
    <t xml:space="preserve">section</t>
  </si>
  <si>
    <t xml:space="preserve">across</t>
  </si>
  <si>
    <t xml:space="preserve">already</t>
  </si>
  <si>
    <t xml:space="preserve">below</t>
  </si>
  <si>
    <t xml:space="preserve">building</t>
  </si>
  <si>
    <t xml:space="preserve">mouse</t>
  </si>
  <si>
    <t xml:space="preserve">allow</t>
  </si>
  <si>
    <t xml:space="preserve">cash</t>
  </si>
  <si>
    <t xml:space="preserve">class</t>
  </si>
  <si>
    <t xml:space="preserve">clear</t>
  </si>
  <si>
    <t xml:space="preserve">dry</t>
  </si>
  <si>
    <t xml:space="preserve">easy</t>
  </si>
  <si>
    <t xml:space="preserve">emotional</t>
  </si>
  <si>
    <t xml:space="preserve">equipment</t>
  </si>
  <si>
    <t xml:space="preserve">live</t>
  </si>
  <si>
    <t xml:space="preserve">(verb,adjective,adverb)</t>
  </si>
  <si>
    <t xml:space="preserve">nothing</t>
  </si>
  <si>
    <t xml:space="preserve">(noun,pronoun,adjective,adverb)</t>
  </si>
  <si>
    <t xml:space="preserve">period</t>
  </si>
  <si>
    <t xml:space="preserve">physics</t>
  </si>
  <si>
    <t xml:space="preserve">plan</t>
  </si>
  <si>
    <t xml:space="preserve">store</t>
  </si>
  <si>
    <t xml:space="preserve">tax</t>
  </si>
  <si>
    <t xml:space="preserve">analysis</t>
  </si>
  <si>
    <t xml:space="preserve">cold</t>
  </si>
  <si>
    <t xml:space="preserve">commercial</t>
  </si>
  <si>
    <t xml:space="preserve">directly</t>
  </si>
  <si>
    <t xml:space="preserve">full</t>
  </si>
  <si>
    <t xml:space="preserve">involved</t>
  </si>
  <si>
    <t xml:space="preserve">itself</t>
  </si>
  <si>
    <t xml:space="preserve">low</t>
  </si>
  <si>
    <t xml:space="preserve">old</t>
  </si>
  <si>
    <t xml:space="preserve">policy</t>
  </si>
  <si>
    <t xml:space="preserve">political</t>
  </si>
  <si>
    <t xml:space="preserve">purchase</t>
  </si>
  <si>
    <t xml:space="preserve">series</t>
  </si>
  <si>
    <t xml:space="preserve">side</t>
  </si>
  <si>
    <t xml:space="preserve">subject</t>
  </si>
  <si>
    <t xml:space="preserve">supply</t>
  </si>
  <si>
    <t xml:space="preserve">therefore</t>
  </si>
  <si>
    <t xml:space="preserve">thought</t>
  </si>
  <si>
    <t xml:space="preserve">basis</t>
  </si>
  <si>
    <t xml:space="preserve">boyfriend</t>
  </si>
  <si>
    <t xml:space="preserve">deal</t>
  </si>
  <si>
    <t xml:space="preserve">direction</t>
  </si>
  <si>
    <t xml:space="preserve">mean</t>
  </si>
  <si>
    <t xml:space="preserve">primary</t>
  </si>
  <si>
    <t xml:space="preserve">space</t>
  </si>
  <si>
    <t xml:space="preserve">strategy</t>
  </si>
  <si>
    <t xml:space="preserve">technology</t>
  </si>
  <si>
    <t xml:space="preserve">worth</t>
  </si>
  <si>
    <t xml:space="preserve">army</t>
  </si>
  <si>
    <t xml:space="preserve">camera</t>
  </si>
  <si>
    <t xml:space="preserve">fall</t>
  </si>
  <si>
    <t xml:space="preserve">freedom</t>
  </si>
  <si>
    <t xml:space="preserve">paper</t>
  </si>
  <si>
    <t xml:space="preserve">rule</t>
  </si>
  <si>
    <t xml:space="preserve">similar</t>
  </si>
  <si>
    <t xml:space="preserve">stock</t>
  </si>
  <si>
    <t xml:space="preserve">weather</t>
  </si>
  <si>
    <t xml:space="preserve">yet</t>
  </si>
  <si>
    <t xml:space="preserve">bring</t>
  </si>
  <si>
    <t xml:space="preserve">chance</t>
  </si>
  <si>
    <t xml:space="preserve">environment</t>
  </si>
  <si>
    <t xml:space="preserve">everyone</t>
  </si>
  <si>
    <t xml:space="preserve">figure</t>
  </si>
  <si>
    <t xml:space="preserve">improve</t>
  </si>
  <si>
    <t xml:space="preserve">man</t>
  </si>
  <si>
    <t xml:space="preserve">model</t>
  </si>
  <si>
    <t xml:space="preserve">necessary</t>
  </si>
  <si>
    <t xml:space="preserve">positive</t>
  </si>
  <si>
    <t xml:space="preserve">produce</t>
  </si>
  <si>
    <t xml:space="preserve">search</t>
  </si>
  <si>
    <t xml:space="preserve">source</t>
  </si>
  <si>
    <t xml:space="preserve">beginning</t>
  </si>
  <si>
    <t xml:space="preserve">child</t>
  </si>
  <si>
    <t xml:space="preserve">earth</t>
  </si>
  <si>
    <t xml:space="preserve">else</t>
  </si>
  <si>
    <t xml:space="preserve">healthy</t>
  </si>
  <si>
    <t xml:space="preserve">instance</t>
  </si>
  <si>
    <t xml:space="preserve">maintain</t>
  </si>
  <si>
    <t xml:space="preserve">month</t>
  </si>
  <si>
    <t xml:space="preserve">present</t>
  </si>
  <si>
    <t xml:space="preserve">program</t>
  </si>
  <si>
    <t xml:space="preserve">spend</t>
  </si>
  <si>
    <t xml:space="preserve">talk</t>
  </si>
  <si>
    <t xml:space="preserve">truth</t>
  </si>
  <si>
    <t xml:space="preserve">upset</t>
  </si>
  <si>
    <t xml:space="preserve">(verb,adjective)</t>
  </si>
  <si>
    <t xml:space="preserve">begin</t>
  </si>
  <si>
    <t xml:space="preserve">chicken</t>
  </si>
  <si>
    <t xml:space="preserve">close</t>
  </si>
  <si>
    <t xml:space="preserve">(adjective,adverb,verb,noun)</t>
  </si>
  <si>
    <t xml:space="preserve">creative</t>
  </si>
  <si>
    <t xml:space="preserve">design</t>
  </si>
  <si>
    <t xml:space="preserve">feature</t>
  </si>
  <si>
    <t xml:space="preserve">financial</t>
  </si>
  <si>
    <t xml:space="preserve">head</t>
  </si>
  <si>
    <t xml:space="preserve">marketing</t>
  </si>
  <si>
    <t xml:space="preserve">material</t>
  </si>
  <si>
    <t xml:space="preserve">medical</t>
  </si>
  <si>
    <t xml:space="preserve">purpose</t>
  </si>
  <si>
    <t xml:space="preserve">question</t>
  </si>
  <si>
    <t xml:space="preserve">rock</t>
  </si>
  <si>
    <t xml:space="preserve">salt</t>
  </si>
  <si>
    <t xml:space="preserve">tell</t>
  </si>
  <si>
    <t xml:space="preserve">themselves</t>
  </si>
  <si>
    <t xml:space="preserve">traditional</t>
  </si>
  <si>
    <t xml:space="preserve">university</t>
  </si>
  <si>
    <t xml:space="preserve">writing</t>
  </si>
  <si>
    <t xml:space="preserve">act</t>
  </si>
  <si>
    <t xml:space="preserve">article</t>
  </si>
  <si>
    <t xml:space="preserve">birth</t>
  </si>
  <si>
    <t xml:space="preserve">car</t>
  </si>
  <si>
    <t xml:space="preserve">cost</t>
  </si>
  <si>
    <t xml:space="preserve">department</t>
  </si>
  <si>
    <t xml:space="preserve">difference</t>
  </si>
  <si>
    <t xml:space="preserve">dog</t>
  </si>
  <si>
    <t xml:space="preserve">drive</t>
  </si>
  <si>
    <t xml:space="preserve">exist</t>
  </si>
  <si>
    <t xml:space="preserve">federal</t>
  </si>
  <si>
    <t xml:space="preserve">goal</t>
  </si>
  <si>
    <t xml:space="preserve">green</t>
  </si>
  <si>
    <t xml:space="preserve">late</t>
  </si>
  <si>
    <t xml:space="preserve">news</t>
  </si>
  <si>
    <t xml:space="preserve">object</t>
  </si>
  <si>
    <t xml:space="preserve">scale</t>
  </si>
  <si>
    <t xml:space="preserve">sun</t>
  </si>
  <si>
    <t xml:space="preserve">support</t>
  </si>
  <si>
    <t xml:space="preserve">tend</t>
  </si>
  <si>
    <t xml:space="preserve">thus</t>
  </si>
  <si>
    <t xml:space="preserve">audience</t>
  </si>
  <si>
    <t xml:space="preserve">enjoy</t>
  </si>
  <si>
    <t xml:space="preserve">entire</t>
  </si>
  <si>
    <t xml:space="preserve">fishing</t>
  </si>
  <si>
    <t xml:space="preserve">fit</t>
  </si>
  <si>
    <t xml:space="preserve">glad</t>
  </si>
  <si>
    <t xml:space="preserve">growth</t>
  </si>
  <si>
    <t xml:space="preserve">income</t>
  </si>
  <si>
    <t xml:space="preserve">marriage</t>
  </si>
  <si>
    <t xml:space="preserve">note</t>
  </si>
  <si>
    <t xml:space="preserve">perform</t>
  </si>
  <si>
    <t xml:space="preserve">profit</t>
  </si>
  <si>
    <t xml:space="preserve">proper</t>
  </si>
  <si>
    <t xml:space="preserve">related</t>
  </si>
  <si>
    <t xml:space="preserve">remove</t>
  </si>
  <si>
    <t xml:space="preserve">rent</t>
  </si>
  <si>
    <t xml:space="preserve">return</t>
  </si>
  <si>
    <t xml:space="preserve">run</t>
  </si>
  <si>
    <t xml:space="preserve">speed</t>
  </si>
  <si>
    <t xml:space="preserve">strong</t>
  </si>
  <si>
    <t xml:space="preserve">style</t>
  </si>
  <si>
    <t xml:space="preserve">throughout</t>
  </si>
  <si>
    <t xml:space="preserve">user</t>
  </si>
  <si>
    <t xml:space="preserve">war</t>
  </si>
  <si>
    <t xml:space="preserve">actual</t>
  </si>
  <si>
    <t xml:space="preserve">appropriate</t>
  </si>
  <si>
    <t xml:space="preserve">bank</t>
  </si>
  <si>
    <t xml:space="preserve">combination</t>
  </si>
  <si>
    <t xml:space="preserve">complex</t>
  </si>
  <si>
    <t xml:space="preserve">content</t>
  </si>
  <si>
    <t xml:space="preserve">craft</t>
  </si>
  <si>
    <t xml:space="preserve">due</t>
  </si>
  <si>
    <t xml:space="preserve">easily</t>
  </si>
  <si>
    <t xml:space="preserve">effective</t>
  </si>
  <si>
    <t xml:space="preserve">eventually</t>
  </si>
  <si>
    <t xml:space="preserve">exactly</t>
  </si>
  <si>
    <t xml:space="preserve">failure</t>
  </si>
  <si>
    <t xml:space="preserve">half</t>
  </si>
  <si>
    <t xml:space="preserve">(noun,predeterminer,adverb)</t>
  </si>
  <si>
    <t xml:space="preserve">inside</t>
  </si>
  <si>
    <t xml:space="preserve">(noun,adjective,preposition)</t>
  </si>
  <si>
    <t xml:space="preserve">meaning</t>
  </si>
  <si>
    <t xml:space="preserve">medicine</t>
  </si>
  <si>
    <t xml:space="preserve">middle</t>
  </si>
  <si>
    <t xml:space="preserve">outside</t>
  </si>
  <si>
    <t xml:space="preserve">philosophy</t>
  </si>
  <si>
    <t xml:space="preserve">regular</t>
  </si>
  <si>
    <t xml:space="preserve">reserve</t>
  </si>
  <si>
    <t xml:space="preserve">standard</t>
  </si>
  <si>
    <t xml:space="preserve">bus</t>
  </si>
  <si>
    <t xml:space="preserve">decide</t>
  </si>
  <si>
    <t xml:space="preserve">exchange</t>
  </si>
  <si>
    <t xml:space="preserve">eye</t>
  </si>
  <si>
    <t xml:space="preserve">fast</t>
  </si>
  <si>
    <t xml:space="preserve">fire</t>
  </si>
  <si>
    <t xml:space="preserve">identify</t>
  </si>
  <si>
    <t xml:space="preserve">independent</t>
  </si>
  <si>
    <t xml:space="preserve">leave</t>
  </si>
  <si>
    <t xml:space="preserve">original</t>
  </si>
  <si>
    <t xml:space="preserve">position</t>
  </si>
  <si>
    <t xml:space="preserve">pressure</t>
  </si>
  <si>
    <t xml:space="preserve">reach</t>
  </si>
  <si>
    <t xml:space="preserve">rest</t>
  </si>
  <si>
    <t xml:space="preserve">serve</t>
  </si>
  <si>
    <t xml:space="preserve">stress</t>
  </si>
  <si>
    <t xml:space="preserve">teacher</t>
  </si>
  <si>
    <t xml:space="preserve">watch</t>
  </si>
  <si>
    <t xml:space="preserve">wide</t>
  </si>
  <si>
    <t xml:space="preserve">advantage</t>
  </si>
  <si>
    <t xml:space="preserve">beautiful</t>
  </si>
  <si>
    <t xml:space="preserve">(adjective,noun,interjection)</t>
  </si>
  <si>
    <t xml:space="preserve">benefit</t>
  </si>
  <si>
    <t xml:space="preserve">box</t>
  </si>
  <si>
    <t xml:space="preserve">charge</t>
  </si>
  <si>
    <t xml:space="preserve">communication</t>
  </si>
  <si>
    <t xml:space="preserve">complete</t>
  </si>
  <si>
    <t xml:space="preserve">continue</t>
  </si>
  <si>
    <t xml:space="preserve">frame</t>
  </si>
  <si>
    <t xml:space="preserve">issue</t>
  </si>
  <si>
    <t xml:space="preserve">limited</t>
  </si>
  <si>
    <t xml:space="preserve">night</t>
  </si>
  <si>
    <t xml:space="preserve">protect</t>
  </si>
  <si>
    <t xml:space="preserve">require</t>
  </si>
  <si>
    <t xml:space="preserve">significant</t>
  </si>
  <si>
    <t xml:space="preserve">step</t>
  </si>
  <si>
    <t xml:space="preserve">successful</t>
  </si>
  <si>
    <t xml:space="preserve">unless</t>
  </si>
  <si>
    <t xml:space="preserve">active</t>
  </si>
  <si>
    <t xml:space="preserve">break</t>
  </si>
  <si>
    <t xml:space="preserve">chemistry</t>
  </si>
  <si>
    <t xml:space="preserve">cycle</t>
  </si>
  <si>
    <t xml:space="preserve">disease</t>
  </si>
  <si>
    <t xml:space="preserve">disk</t>
  </si>
  <si>
    <t xml:space="preserve">electrical</t>
  </si>
  <si>
    <t xml:space="preserve">energy</t>
  </si>
  <si>
    <t xml:space="preserve">expensive</t>
  </si>
  <si>
    <t xml:space="preserve">face</t>
  </si>
  <si>
    <t xml:space="preserve">interested</t>
  </si>
  <si>
    <t xml:space="preserve">item</t>
  </si>
  <si>
    <t xml:space="preserve">(noun,adverb)</t>
  </si>
  <si>
    <t xml:space="preserve">metal</t>
  </si>
  <si>
    <t xml:space="preserve">nation</t>
  </si>
  <si>
    <t xml:space="preserve">negative</t>
  </si>
  <si>
    <t xml:space="preserve">(adjective,noun,interjection,verb)</t>
  </si>
  <si>
    <t xml:space="preserve">occur</t>
  </si>
  <si>
    <t xml:space="preserve">paint</t>
  </si>
  <si>
    <t xml:space="preserve">pregnant</t>
  </si>
  <si>
    <t xml:space="preserve">review</t>
  </si>
  <si>
    <t xml:space="preserve">road</t>
  </si>
  <si>
    <t xml:space="preserve">role</t>
  </si>
  <si>
    <t xml:space="preserve">room</t>
  </si>
  <si>
    <t xml:space="preserve">safe</t>
  </si>
  <si>
    <t xml:space="preserve">screen</t>
  </si>
  <si>
    <t xml:space="preserve">soup</t>
  </si>
  <si>
    <t xml:space="preserve">stay</t>
  </si>
  <si>
    <t xml:space="preserve">structure</t>
  </si>
  <si>
    <t xml:space="preserve">view</t>
  </si>
  <si>
    <t xml:space="preserve">visit</t>
  </si>
  <si>
    <t xml:space="preserve">visual</t>
  </si>
  <si>
    <t xml:space="preserve">write</t>
  </si>
  <si>
    <t xml:space="preserve">wrong</t>
  </si>
  <si>
    <t xml:space="preserve">account</t>
  </si>
  <si>
    <t xml:space="preserve">advertising</t>
  </si>
  <si>
    <t xml:space="preserve">affect</t>
  </si>
  <si>
    <t xml:space="preserve">ago</t>
  </si>
  <si>
    <t xml:space="preserve">anyone</t>
  </si>
  <si>
    <t xml:space="preserve">approach</t>
  </si>
  <si>
    <t xml:space="preserve">avoid</t>
  </si>
  <si>
    <t xml:space="preserve">ball</t>
  </si>
  <si>
    <t xml:space="preserve">behind</t>
  </si>
  <si>
    <t xml:space="preserve">(preposition,adverb,adjective,noun)</t>
  </si>
  <si>
    <t xml:space="preserve">certainly</t>
  </si>
  <si>
    <t xml:space="preserve">concerned</t>
  </si>
  <si>
    <t xml:space="preserve">cover</t>
  </si>
  <si>
    <t xml:space="preserve">discipline</t>
  </si>
  <si>
    <t xml:space="preserve">location</t>
  </si>
  <si>
    <t xml:space="preserve">medium</t>
  </si>
  <si>
    <t xml:space="preserve">normally</t>
  </si>
  <si>
    <t xml:space="preserve">prepare</t>
  </si>
  <si>
    <t xml:space="preserve">quick</t>
  </si>
  <si>
    <t xml:space="preserve">ready</t>
  </si>
  <si>
    <t xml:space="preserve">report</t>
  </si>
  <si>
    <t xml:space="preserve">rise</t>
  </si>
  <si>
    <t xml:space="preserve">share</t>
  </si>
  <si>
    <t xml:space="preserve">success</t>
  </si>
  <si>
    <t xml:space="preserve">addition</t>
  </si>
  <si>
    <t xml:space="preserve">apartment</t>
  </si>
  <si>
    <t xml:space="preserve">balance</t>
  </si>
  <si>
    <t xml:space="preserve">bit</t>
  </si>
  <si>
    <t xml:space="preserve">black</t>
  </si>
  <si>
    <t xml:space="preserve">(noun,verb,adjective,adverb)</t>
  </si>
  <si>
    <t xml:space="preserve">bottom</t>
  </si>
  <si>
    <t xml:space="preserve">build</t>
  </si>
  <si>
    <t xml:space="preserve">choice</t>
  </si>
  <si>
    <t xml:space="preserve">education</t>
  </si>
  <si>
    <t xml:space="preserve">gift</t>
  </si>
  <si>
    <t xml:space="preserve">impact</t>
  </si>
  <si>
    <t xml:space="preserve">machine</t>
  </si>
  <si>
    <t xml:space="preserve">math</t>
  </si>
  <si>
    <t xml:space="preserve">moment</t>
  </si>
  <si>
    <t xml:space="preserve">painting</t>
  </si>
  <si>
    <t xml:space="preserve">politics</t>
  </si>
  <si>
    <t xml:space="preserve">shape</t>
  </si>
  <si>
    <t xml:space="preserve">straight</t>
  </si>
  <si>
    <t xml:space="preserve">tool</t>
  </si>
  <si>
    <t xml:space="preserve">walk</t>
  </si>
  <si>
    <t xml:space="preserve">white</t>
  </si>
  <si>
    <t xml:space="preserve">wind</t>
  </si>
  <si>
    <t xml:space="preserve">achieve</t>
  </si>
  <si>
    <t xml:space="preserve">address</t>
  </si>
  <si>
    <t xml:space="preserve">attention</t>
  </si>
  <si>
    <t xml:space="preserve">average</t>
  </si>
  <si>
    <t xml:space="preserve">believe</t>
  </si>
  <si>
    <t xml:space="preserve">beyond</t>
  </si>
  <si>
    <t xml:space="preserve">(preposition,noun)</t>
  </si>
  <si>
    <t xml:space="preserve">career</t>
  </si>
  <si>
    <t xml:space="preserve">culture</t>
  </si>
  <si>
    <t xml:space="preserve">decision</t>
  </si>
  <si>
    <t xml:space="preserve">direct</t>
  </si>
  <si>
    <t xml:space="preserve">event</t>
  </si>
  <si>
    <t xml:space="preserve">excellent</t>
  </si>
  <si>
    <t xml:space="preserve">(adjective,interjection)</t>
  </si>
  <si>
    <t xml:space="preserve">extra</t>
  </si>
  <si>
    <t xml:space="preserve">intelligent</t>
  </si>
  <si>
    <t xml:space="preserve">interesting</t>
  </si>
  <si>
    <t xml:space="preserve">junior</t>
  </si>
  <si>
    <t xml:space="preserve">morning</t>
  </si>
  <si>
    <t xml:space="preserve">pick</t>
  </si>
  <si>
    <t xml:space="preserve">poor</t>
  </si>
  <si>
    <t xml:space="preserve">pot</t>
  </si>
  <si>
    <t xml:space="preserve">pretty</t>
  </si>
  <si>
    <t xml:space="preserve">property</t>
  </si>
  <si>
    <t xml:space="preserve">receive</t>
  </si>
  <si>
    <t xml:space="preserve">seem</t>
  </si>
  <si>
    <t xml:space="preserve">shopping</t>
  </si>
  <si>
    <t xml:space="preserve">sign</t>
  </si>
  <si>
    <t xml:space="preserve">student</t>
  </si>
  <si>
    <t xml:space="preserve">table</t>
  </si>
  <si>
    <t xml:space="preserve">task</t>
  </si>
  <si>
    <t xml:space="preserve">unique</t>
  </si>
  <si>
    <t xml:space="preserve">wood</t>
  </si>
  <si>
    <t xml:space="preserve">anything</t>
  </si>
  <si>
    <t xml:space="preserve">(pronoun,noun,adverb)</t>
  </si>
  <si>
    <t xml:space="preserve">classic</t>
  </si>
  <si>
    <t xml:space="preserve">competition</t>
  </si>
  <si>
    <t xml:space="preserve">condition</t>
  </si>
  <si>
    <t xml:space="preserve">contact</t>
  </si>
  <si>
    <t xml:space="preserve">credit</t>
  </si>
  <si>
    <t xml:space="preserve">currently</t>
  </si>
  <si>
    <t xml:space="preserve">discuss</t>
  </si>
  <si>
    <t xml:space="preserve">distribution</t>
  </si>
  <si>
    <t xml:space="preserve">egg</t>
  </si>
  <si>
    <t xml:space="preserve">entertainment</t>
  </si>
  <si>
    <t xml:space="preserve">final</t>
  </si>
  <si>
    <t xml:space="preserve">happy</t>
  </si>
  <si>
    <t xml:space="preserve">hope</t>
  </si>
  <si>
    <t xml:space="preserve">ice</t>
  </si>
  <si>
    <t xml:space="preserve">lift</t>
  </si>
  <si>
    <t xml:space="preserve">mix</t>
  </si>
  <si>
    <t xml:space="preserve">network</t>
  </si>
  <si>
    <t xml:space="preserve">north</t>
  </si>
  <si>
    <t xml:space="preserve">(noun,adjective,adverb)</t>
  </si>
  <si>
    <t xml:space="preserve">office</t>
  </si>
  <si>
    <t xml:space="preserve">overall</t>
  </si>
  <si>
    <t xml:space="preserve">population</t>
  </si>
  <si>
    <t xml:space="preserve">president</t>
  </si>
  <si>
    <t xml:space="preserve">private</t>
  </si>
  <si>
    <t xml:space="preserve">realize</t>
  </si>
  <si>
    <t xml:space="preserve">responsible</t>
  </si>
  <si>
    <t xml:space="preserve">separate</t>
  </si>
  <si>
    <t xml:space="preserve">square</t>
  </si>
  <si>
    <t xml:space="preserve">stop</t>
  </si>
  <si>
    <t xml:space="preserve">teach</t>
  </si>
  <si>
    <t xml:space="preserve">unit</t>
  </si>
  <si>
    <t xml:space="preserve">western</t>
  </si>
  <si>
    <t xml:space="preserve">yes</t>
  </si>
  <si>
    <t xml:space="preserve">alone</t>
  </si>
  <si>
    <t xml:space="preserve">attempt</t>
  </si>
  <si>
    <t xml:space="preserve">category</t>
  </si>
  <si>
    <t xml:space="preserve">cigarette</t>
  </si>
  <si>
    <t xml:space="preserve">concern</t>
  </si>
  <si>
    <t xml:space="preserve">contain</t>
  </si>
  <si>
    <t xml:space="preserve">context</t>
  </si>
  <si>
    <t xml:space="preserve">cute</t>
  </si>
  <si>
    <t xml:space="preserve">date</t>
  </si>
  <si>
    <t xml:space="preserve">effect</t>
  </si>
  <si>
    <t xml:space="preserve">extremely</t>
  </si>
  <si>
    <t xml:space="preserve">familiar</t>
  </si>
  <si>
    <t xml:space="preserve">finally</t>
  </si>
  <si>
    <t xml:space="preserve">fly</t>
  </si>
  <si>
    <t xml:space="preserve">follow</t>
  </si>
  <si>
    <t xml:space="preserve">helpful</t>
  </si>
  <si>
    <t xml:space="preserve">introduction</t>
  </si>
  <si>
    <t xml:space="preserve">link</t>
  </si>
  <si>
    <t xml:space="preserve">official</t>
  </si>
  <si>
    <t xml:space="preserve">opportunity</t>
  </si>
  <si>
    <t xml:space="preserve">perfect</t>
  </si>
  <si>
    <t xml:space="preserve">performance</t>
  </si>
  <si>
    <t xml:space="preserve">post</t>
  </si>
  <si>
    <t xml:space="preserve">recent</t>
  </si>
  <si>
    <t xml:space="preserve">refer</t>
  </si>
  <si>
    <t xml:space="preserve">solve</t>
  </si>
  <si>
    <t xml:space="preserve">star</t>
  </si>
  <si>
    <t xml:space="preserve">voice</t>
  </si>
  <si>
    <t xml:space="preserve">willing</t>
  </si>
  <si>
    <t xml:space="preserve">born</t>
  </si>
  <si>
    <t xml:space="preserve">(verb,adjective,past particple)</t>
  </si>
  <si>
    <t xml:space="preserve">bright</t>
  </si>
  <si>
    <t xml:space="preserve">broad</t>
  </si>
  <si>
    <t xml:space="preserve">capital</t>
  </si>
  <si>
    <t xml:space="preserve">challenge</t>
  </si>
  <si>
    <t xml:space="preserve">comfortable</t>
  </si>
  <si>
    <t xml:space="preserve">constantly</t>
  </si>
  <si>
    <t xml:space="preserve">describe</t>
  </si>
  <si>
    <t xml:space="preserve">despite</t>
  </si>
  <si>
    <t xml:space="preserve">driver</t>
  </si>
  <si>
    <t xml:space="preserve">flat</t>
  </si>
  <si>
    <t xml:space="preserve">flight</t>
  </si>
  <si>
    <t xml:space="preserve">friend</t>
  </si>
  <si>
    <t xml:space="preserve">gain</t>
  </si>
  <si>
    <t xml:space="preserve">him</t>
  </si>
  <si>
    <t xml:space="preserve">length</t>
  </si>
  <si>
    <t xml:space="preserve">magazine</t>
  </si>
  <si>
    <t xml:space="preserve">maybe</t>
  </si>
  <si>
    <t xml:space="preserve">newspaper</t>
  </si>
  <si>
    <t xml:space="preserve">nice</t>
  </si>
  <si>
    <t xml:space="preserve">prefer</t>
  </si>
  <si>
    <t xml:space="preserve">prevent</t>
  </si>
  <si>
    <t xml:space="preserve">properly</t>
  </si>
  <si>
    <t xml:space="preserve">relationship</t>
  </si>
  <si>
    <t xml:space="preserve">rich</t>
  </si>
  <si>
    <t xml:space="preserve">save</t>
  </si>
  <si>
    <t xml:space="preserve">(verb,noun,preposition)</t>
  </si>
  <si>
    <t xml:space="preserve">self</t>
  </si>
  <si>
    <t xml:space="preserve">(noun,pronoun,adjective,verb)</t>
  </si>
  <si>
    <t xml:space="preserve">shot</t>
  </si>
  <si>
    <t xml:space="preserve">soon</t>
  </si>
  <si>
    <t xml:space="preserve">specifically</t>
  </si>
  <si>
    <t xml:space="preserve">stand</t>
  </si>
  <si>
    <t xml:space="preserve">teaching</t>
  </si>
  <si>
    <t xml:space="preserve">warm</t>
  </si>
  <si>
    <t xml:space="preserve">wonderful</t>
  </si>
  <si>
    <t xml:space="preserve">young</t>
  </si>
  <si>
    <t xml:space="preserve">ahead</t>
  </si>
  <si>
    <t xml:space="preserve">brush</t>
  </si>
  <si>
    <t xml:space="preserve">cell</t>
  </si>
  <si>
    <t xml:space="preserve">couple</t>
  </si>
  <si>
    <t xml:space="preserve">daily</t>
  </si>
  <si>
    <t xml:space="preserve">dealer</t>
  </si>
  <si>
    <t xml:space="preserve">debate</t>
  </si>
  <si>
    <t xml:space="preserve">discover</t>
  </si>
  <si>
    <t xml:space="preserve">ensure</t>
  </si>
  <si>
    <t xml:space="preserve">exit</t>
  </si>
  <si>
    <t xml:space="preserve">expect</t>
  </si>
  <si>
    <t xml:space="preserve">experienced</t>
  </si>
  <si>
    <t xml:space="preserve">fail</t>
  </si>
  <si>
    <t xml:space="preserve">finding</t>
  </si>
  <si>
    <t xml:space="preserve">front</t>
  </si>
  <si>
    <t xml:space="preserve">(noun,adjective,verb,interjection)</t>
  </si>
  <si>
    <t xml:space="preserve">function</t>
  </si>
  <si>
    <t xml:space="preserve">heavy</t>
  </si>
  <si>
    <t xml:space="preserve">hello</t>
  </si>
  <si>
    <t xml:space="preserve">(interjection,noun)</t>
  </si>
  <si>
    <t xml:space="preserve">highly</t>
  </si>
  <si>
    <t xml:space="preserve">immediately</t>
  </si>
  <si>
    <t xml:space="preserve">impossible</t>
  </si>
  <si>
    <t xml:space="preserve">invest</t>
  </si>
  <si>
    <t xml:space="preserve">lack</t>
  </si>
  <si>
    <t xml:space="preserve">lake</t>
  </si>
  <si>
    <t xml:space="preserve">lead</t>
  </si>
  <si>
    <t xml:space="preserve">listen</t>
  </si>
  <si>
    <t xml:space="preserve">living</t>
  </si>
  <si>
    <t xml:space="preserve">member</t>
  </si>
  <si>
    <t xml:space="preserve">message</t>
  </si>
  <si>
    <t xml:space="preserve">phone</t>
  </si>
  <si>
    <t xml:space="preserve">plant</t>
  </si>
  <si>
    <t xml:space="preserve">plastic</t>
  </si>
  <si>
    <t xml:space="preserve">reduce</t>
  </si>
  <si>
    <t xml:space="preserve">relatively</t>
  </si>
  <si>
    <t xml:space="preserve">scene</t>
  </si>
  <si>
    <t xml:space="preserve">serious</t>
  </si>
  <si>
    <t xml:space="preserve">slowly</t>
  </si>
  <si>
    <t xml:space="preserve">speak</t>
  </si>
  <si>
    <t xml:space="preserve">spot</t>
  </si>
  <si>
    <t xml:space="preserve">summer</t>
  </si>
  <si>
    <t xml:space="preserve">taste</t>
  </si>
  <si>
    <t xml:space="preserve">theme</t>
  </si>
  <si>
    <t xml:space="preserve">towards</t>
  </si>
  <si>
    <t xml:space="preserve">track</t>
  </si>
  <si>
    <t xml:space="preserve">valuable</t>
  </si>
  <si>
    <t xml:space="preserve">whatever</t>
  </si>
  <si>
    <t xml:space="preserve">(pronoun,adverb,interjection)</t>
  </si>
  <si>
    <t xml:space="preserve">wing</t>
  </si>
  <si>
    <t xml:space="preserve">worry</t>
  </si>
  <si>
    <t xml:space="preserve">appear</t>
  </si>
  <si>
    <t xml:space="preserve">appearance</t>
  </si>
  <si>
    <t xml:space="preserve">association</t>
  </si>
  <si>
    <t xml:space="preserve">brain</t>
  </si>
  <si>
    <t xml:space="preserve">button</t>
  </si>
  <si>
    <t xml:space="preserve">click</t>
  </si>
  <si>
    <t xml:space="preserve">concept</t>
  </si>
  <si>
    <t xml:space="preserve">correct</t>
  </si>
  <si>
    <t xml:space="preserve">customer</t>
  </si>
  <si>
    <t xml:space="preserve">death</t>
  </si>
  <si>
    <t xml:space="preserve">desire</t>
  </si>
  <si>
    <t xml:space="preserve">discussion</t>
  </si>
  <si>
    <t xml:space="preserve">explain</t>
  </si>
  <si>
    <t xml:space="preserve">explore</t>
  </si>
  <si>
    <t xml:space="preserve">express</t>
  </si>
  <si>
    <t xml:space="preserve">(verb,adjective,adverb,noun)</t>
  </si>
  <si>
    <t xml:space="preserve">fairly</t>
  </si>
  <si>
    <t xml:space="preserve">fixed</t>
  </si>
  <si>
    <t xml:space="preserve">foot</t>
  </si>
  <si>
    <t xml:space="preserve">gas</t>
  </si>
  <si>
    <t xml:space="preserve">handle</t>
  </si>
  <si>
    <t xml:space="preserve">housing</t>
  </si>
  <si>
    <t xml:space="preserve">huge</t>
  </si>
  <si>
    <t xml:space="preserve">inflation</t>
  </si>
  <si>
    <t xml:space="preserve">influence</t>
  </si>
  <si>
    <t xml:space="preserve">insurance</t>
  </si>
  <si>
    <t xml:space="preserve">involve</t>
  </si>
  <si>
    <t xml:space="preserve">leading</t>
  </si>
  <si>
    <t xml:space="preserve">lose</t>
  </si>
  <si>
    <t xml:space="preserve">meet</t>
  </si>
  <si>
    <t xml:space="preserve">mood</t>
  </si>
  <si>
    <t xml:space="preserve">notice</t>
  </si>
  <si>
    <t xml:space="preserve">primarily</t>
  </si>
  <si>
    <t xml:space="preserve">rain</t>
  </si>
  <si>
    <t xml:space="preserve">rare</t>
  </si>
  <si>
    <t xml:space="preserve">release</t>
  </si>
  <si>
    <t xml:space="preserve">sell</t>
  </si>
  <si>
    <t xml:space="preserve">slow</t>
  </si>
  <si>
    <t xml:space="preserve">technical</t>
  </si>
  <si>
    <t xml:space="preserve">typical</t>
  </si>
  <si>
    <t xml:space="preserve">upon</t>
  </si>
  <si>
    <t xml:space="preserve">wall</t>
  </si>
  <si>
    <t xml:space="preserve">woman</t>
  </si>
  <si>
    <t xml:space="preserve">advice</t>
  </si>
  <si>
    <t xml:space="preserve">afford</t>
  </si>
  <si>
    <t xml:space="preserve">agree</t>
  </si>
  <si>
    <t xml:space="preserve">base</t>
  </si>
  <si>
    <t xml:space="preserve">blood</t>
  </si>
  <si>
    <t xml:space="preserve">clean</t>
  </si>
  <si>
    <t xml:space="preserve">competitive</t>
  </si>
  <si>
    <t xml:space="preserve">completely</t>
  </si>
  <si>
    <t xml:space="preserve">critical</t>
  </si>
  <si>
    <t xml:space="preserve">damage</t>
  </si>
  <si>
    <t xml:space="preserve">distance</t>
  </si>
  <si>
    <t xml:space="preserve">effort</t>
  </si>
  <si>
    <t xml:space="preserve">electronic</t>
  </si>
  <si>
    <t xml:space="preserve">expression</t>
  </si>
  <si>
    <t xml:space="preserve">feeling</t>
  </si>
  <si>
    <t xml:space="preserve">finish</t>
  </si>
  <si>
    <t xml:space="preserve">fresh</t>
  </si>
  <si>
    <t xml:space="preserve">hear</t>
  </si>
  <si>
    <t xml:space="preserve">immediate</t>
  </si>
  <si>
    <t xml:space="preserve">importance</t>
  </si>
  <si>
    <t xml:space="preserve">normal</t>
  </si>
  <si>
    <t xml:space="preserve">opinion</t>
  </si>
  <si>
    <t xml:space="preserve">otherwise</t>
  </si>
  <si>
    <t xml:space="preserve">pair</t>
  </si>
  <si>
    <t xml:space="preserve">payment</t>
  </si>
  <si>
    <t xml:space="preserve">plus</t>
  </si>
  <si>
    <t xml:space="preserve">(preposition,adjective,noun,conjunction)</t>
  </si>
  <si>
    <t xml:space="preserve">press</t>
  </si>
  <si>
    <t xml:space="preserve">reality</t>
  </si>
  <si>
    <t xml:space="preserve">remain</t>
  </si>
  <si>
    <t xml:space="preserve">represent</t>
  </si>
  <si>
    <t xml:space="preserve">responsibility</t>
  </si>
  <si>
    <t xml:space="preserve">ride</t>
  </si>
  <si>
    <t xml:space="preserve">savings</t>
  </si>
  <si>
    <t xml:space="preserve">secret</t>
  </si>
  <si>
    <t xml:space="preserve">situation</t>
  </si>
  <si>
    <t xml:space="preserve">skill</t>
  </si>
  <si>
    <t xml:space="preserve">spread</t>
  </si>
  <si>
    <t xml:space="preserve">spring</t>
  </si>
  <si>
    <t xml:space="preserve">staff</t>
  </si>
  <si>
    <t xml:space="preserve">statement</t>
  </si>
  <si>
    <t xml:space="preserve">sugar</t>
  </si>
  <si>
    <t xml:space="preserve">target</t>
  </si>
  <si>
    <t xml:space="preserve">text</t>
  </si>
  <si>
    <t xml:space="preserve">tough</t>
  </si>
  <si>
    <t xml:space="preserve">ultimately</t>
  </si>
  <si>
    <t xml:space="preserve">wait</t>
  </si>
  <si>
    <t xml:space="preserve">wealth</t>
  </si>
  <si>
    <t xml:space="preserve">whenever</t>
  </si>
  <si>
    <t xml:space="preserve">whose</t>
  </si>
  <si>
    <t xml:space="preserve">widely</t>
  </si>
  <si>
    <t xml:space="preserve">animal</t>
  </si>
  <si>
    <t xml:space="preserve">application</t>
  </si>
  <si>
    <t xml:space="preserve">apply</t>
  </si>
  <si>
    <t xml:space="preserve">author</t>
  </si>
  <si>
    <t xml:space="preserve">aware</t>
  </si>
  <si>
    <t xml:space="preserve">brown</t>
  </si>
  <si>
    <t xml:space="preserve">budget</t>
  </si>
  <si>
    <t xml:space="preserve">cheap</t>
  </si>
  <si>
    <t xml:space="preserve">city</t>
  </si>
  <si>
    <t xml:space="preserve">complicated</t>
  </si>
  <si>
    <t xml:space="preserve">county</t>
  </si>
  <si>
    <t xml:space="preserve">deep</t>
  </si>
  <si>
    <t xml:space="preserve">depth</t>
  </si>
  <si>
    <t xml:space="preserve">discount</t>
  </si>
  <si>
    <t xml:space="preserve">display</t>
  </si>
  <si>
    <t xml:space="preserve">educational</t>
  </si>
  <si>
    <t xml:space="preserve">environmental</t>
  </si>
  <si>
    <t xml:space="preserve">estate</t>
  </si>
  <si>
    <t xml:space="preserve">file</t>
  </si>
  <si>
    <t xml:space="preserve">flow</t>
  </si>
  <si>
    <t xml:space="preserve">forget</t>
  </si>
  <si>
    <t xml:space="preserve">foundation</t>
  </si>
  <si>
    <t xml:space="preserve">global</t>
  </si>
  <si>
    <t xml:space="preserve">grandmother</t>
  </si>
  <si>
    <t xml:space="preserve">ground</t>
  </si>
  <si>
    <t xml:space="preserve">heart</t>
  </si>
  <si>
    <t xml:space="preserve">hit</t>
  </si>
  <si>
    <t xml:space="preserve">legal</t>
  </si>
  <si>
    <t xml:space="preserve">lesson</t>
  </si>
  <si>
    <t xml:space="preserve">minute</t>
  </si>
  <si>
    <t xml:space="preserve">near</t>
  </si>
  <si>
    <t xml:space="preserve">objective</t>
  </si>
  <si>
    <t xml:space="preserve">officer</t>
  </si>
  <si>
    <t xml:space="preserve">perspective</t>
  </si>
  <si>
    <t xml:space="preserve">phase</t>
  </si>
  <si>
    <t xml:space="preserve">photo</t>
  </si>
  <si>
    <t xml:space="preserve">recently</t>
  </si>
  <si>
    <t xml:space="preserve">recipe</t>
  </si>
  <si>
    <t xml:space="preserve">recommend</t>
  </si>
  <si>
    <t xml:space="preserve">reference</t>
  </si>
  <si>
    <t xml:space="preserve">register</t>
  </si>
  <si>
    <t xml:space="preserve">relevant</t>
  </si>
  <si>
    <t xml:space="preserve">rely</t>
  </si>
  <si>
    <t xml:space="preserve">secure</t>
  </si>
  <si>
    <t xml:space="preserve">seriously</t>
  </si>
  <si>
    <t xml:space="preserve">shoot</t>
  </si>
  <si>
    <t xml:space="preserve">sky</t>
  </si>
  <si>
    <t xml:space="preserve">stage</t>
  </si>
  <si>
    <t xml:space="preserve">stick</t>
  </si>
  <si>
    <t xml:space="preserve">studio</t>
  </si>
  <si>
    <t xml:space="preserve">thin</t>
  </si>
  <si>
    <t xml:space="preserve">title</t>
  </si>
  <si>
    <t xml:space="preserve">topic</t>
  </si>
  <si>
    <t xml:space="preserve">touch</t>
  </si>
  <si>
    <t xml:space="preserve">trouble</t>
  </si>
  <si>
    <t xml:space="preserve">vary</t>
  </si>
  <si>
    <t xml:space="preserve">accurate</t>
  </si>
  <si>
    <t xml:space="preserve">advanced</t>
  </si>
  <si>
    <t xml:space="preserve">(past,verb,adjective,noun)</t>
  </si>
  <si>
    <t xml:space="preserve">bowl</t>
  </si>
  <si>
    <t xml:space="preserve">bridge</t>
  </si>
  <si>
    <t xml:space="preserve">campaign</t>
  </si>
  <si>
    <t xml:space="preserve">cancel</t>
  </si>
  <si>
    <t xml:space="preserve">capable</t>
  </si>
  <si>
    <t xml:space="preserve">character</t>
  </si>
  <si>
    <t xml:space="preserve">chemical</t>
  </si>
  <si>
    <t xml:space="preserve">club</t>
  </si>
  <si>
    <t xml:space="preserve">collection</t>
  </si>
  <si>
    <t xml:space="preserve">cool</t>
  </si>
  <si>
    <t xml:space="preserve">cry</t>
  </si>
  <si>
    <t xml:space="preserve">(verb,noun,idiom)</t>
  </si>
  <si>
    <t xml:space="preserve">dangerous</t>
  </si>
  <si>
    <t xml:space="preserve">depression</t>
  </si>
  <si>
    <t xml:space="preserve">dump</t>
  </si>
  <si>
    <t xml:space="preserve">edge</t>
  </si>
  <si>
    <t xml:space="preserve">(noun,verb,idiom)</t>
  </si>
  <si>
    <t xml:space="preserve">evidence</t>
  </si>
  <si>
    <t xml:space="preserve">extreme</t>
  </si>
  <si>
    <t xml:space="preserve">fan</t>
  </si>
  <si>
    <t xml:space="preserve">frequently</t>
  </si>
  <si>
    <t xml:space="preserve">fully</t>
  </si>
  <si>
    <t xml:space="preserve">generate</t>
  </si>
  <si>
    <t xml:space="preserve">imagination</t>
  </si>
  <si>
    <t xml:space="preserve">letter</t>
  </si>
  <si>
    <t xml:space="preserve">lock</t>
  </si>
  <si>
    <t xml:space="preserve">maximum</t>
  </si>
  <si>
    <t xml:space="preserve">mostly</t>
  </si>
  <si>
    <t xml:space="preserve">myself</t>
  </si>
  <si>
    <t xml:space="preserve">naturally</t>
  </si>
  <si>
    <t xml:space="preserve">nearly</t>
  </si>
  <si>
    <t xml:space="preserve">novel</t>
  </si>
  <si>
    <t xml:space="preserve">obtain</t>
  </si>
  <si>
    <t xml:space="preserve">occasionally</t>
  </si>
  <si>
    <t xml:space="preserve">option</t>
  </si>
  <si>
    <t xml:space="preserve">organized</t>
  </si>
  <si>
    <t xml:space="preserve">pack</t>
  </si>
  <si>
    <t xml:space="preserve">(noun,verb,adjective,idiom)</t>
  </si>
  <si>
    <t xml:space="preserve">park</t>
  </si>
  <si>
    <t xml:space="preserve">passion</t>
  </si>
  <si>
    <t xml:space="preserve">percentage</t>
  </si>
  <si>
    <t xml:space="preserve">plenty</t>
  </si>
  <si>
    <t xml:space="preserve">push</t>
  </si>
  <si>
    <t xml:space="preserve">quarter</t>
  </si>
  <si>
    <t xml:space="preserve">resource</t>
  </si>
  <si>
    <t xml:space="preserve">select</t>
  </si>
  <si>
    <t xml:space="preserve">setting</t>
  </si>
  <si>
    <t xml:space="preserve">skin</t>
  </si>
  <si>
    <t xml:space="preserve">sort</t>
  </si>
  <si>
    <t xml:space="preserve">weight</t>
  </si>
  <si>
    <t xml:space="preserve">accept</t>
  </si>
  <si>
    <t xml:space="preserve">ad</t>
  </si>
  <si>
    <t xml:space="preserve">agency</t>
  </si>
  <si>
    <t xml:space="preserve">baby</t>
  </si>
  <si>
    <t xml:space="preserve">background</t>
  </si>
  <si>
    <t xml:space="preserve">carefully</t>
  </si>
  <si>
    <t xml:space="preserve">carry</t>
  </si>
  <si>
    <t xml:space="preserve">clearly</t>
  </si>
  <si>
    <t xml:space="preserve">college</t>
  </si>
  <si>
    <t xml:space="preserve">communicate</t>
  </si>
  <si>
    <t xml:space="preserve">complain</t>
  </si>
  <si>
    <t xml:space="preserve">conflict</t>
  </si>
  <si>
    <t xml:space="preserve">connection</t>
  </si>
  <si>
    <t xml:space="preserve">criticism</t>
  </si>
  <si>
    <t xml:space="preserve">debt</t>
  </si>
  <si>
    <t xml:space="preserve">depend</t>
  </si>
  <si>
    <t xml:space="preserve">description</t>
  </si>
  <si>
    <t xml:space="preserve">die</t>
  </si>
  <si>
    <t xml:space="preserve">(verb,idiom)</t>
  </si>
  <si>
    <t xml:space="preserve">dish</t>
  </si>
  <si>
    <t xml:space="preserve">dramatic</t>
  </si>
  <si>
    <t xml:space="preserve">eat</t>
  </si>
  <si>
    <t xml:space="preserve">efficient</t>
  </si>
  <si>
    <t xml:space="preserve">enter</t>
  </si>
  <si>
    <t xml:space="preserve">essentially</t>
  </si>
  <si>
    <t xml:space="preserve">exact</t>
  </si>
  <si>
    <t xml:space="preserve">factor</t>
  </si>
  <si>
    <t xml:space="preserve">fair</t>
  </si>
  <si>
    <t xml:space="preserve">(adjective,adverb,noun,idiom)</t>
  </si>
  <si>
    <t xml:space="preserve">fill</t>
  </si>
  <si>
    <t xml:space="preserve">fine</t>
  </si>
  <si>
    <t xml:space="preserve">formal</t>
  </si>
  <si>
    <t xml:space="preserve">forward</t>
  </si>
  <si>
    <t xml:space="preserve">(adverb,adjective,noun,verb)</t>
  </si>
  <si>
    <t xml:space="preserve">fruit</t>
  </si>
  <si>
    <t xml:space="preserve">glass</t>
  </si>
  <si>
    <t xml:space="preserve">happen</t>
  </si>
  <si>
    <t xml:space="preserve">indicate</t>
  </si>
  <si>
    <t xml:space="preserve">joint</t>
  </si>
  <si>
    <t xml:space="preserve">(noun,adjective,verb,idiom)</t>
  </si>
  <si>
    <t xml:space="preserve">jump</t>
  </si>
  <si>
    <t xml:space="preserve">(verb,noun,adjective,adverb)</t>
  </si>
  <si>
    <t xml:space="preserve">kick</t>
  </si>
  <si>
    <t xml:space="preserve">master</t>
  </si>
  <si>
    <t xml:space="preserve">memory</t>
  </si>
  <si>
    <t xml:space="preserve">muscle</t>
  </si>
  <si>
    <t xml:space="preserve">opposite</t>
  </si>
  <si>
    <t xml:space="preserve">pass</t>
  </si>
  <si>
    <t xml:space="preserve">patience</t>
  </si>
  <si>
    <t xml:space="preserve">pitch</t>
  </si>
  <si>
    <t xml:space="preserve">possibly</t>
  </si>
  <si>
    <t xml:space="preserve">powerful</t>
  </si>
  <si>
    <t xml:space="preserve">red</t>
  </si>
  <si>
    <t xml:space="preserve">(noun,adjective,idiom)</t>
  </si>
  <si>
    <t xml:space="preserve">remote</t>
  </si>
  <si>
    <t xml:space="preserve">secretary</t>
  </si>
  <si>
    <t xml:space="preserve">slightly</t>
  </si>
  <si>
    <t xml:space="preserve">solution</t>
  </si>
  <si>
    <t xml:space="preserve">somewhat</t>
  </si>
  <si>
    <t xml:space="preserve">strength</t>
  </si>
  <si>
    <t xml:space="preserve">(noun,idiom)</t>
  </si>
  <si>
    <t xml:space="preserve">suggest</t>
  </si>
  <si>
    <t xml:space="preserve">survive</t>
  </si>
  <si>
    <t xml:space="preserve">total</t>
  </si>
  <si>
    <t xml:space="preserve">traffic</t>
  </si>
  <si>
    <t xml:space="preserve">treat</t>
  </si>
  <si>
    <t xml:space="preserve">trip</t>
  </si>
  <si>
    <t xml:space="preserve">vast</t>
  </si>
  <si>
    <t xml:space="preserve">vegetable</t>
  </si>
  <si>
    <t xml:space="preserve">abuse</t>
  </si>
  <si>
    <t xml:space="preserve">administration</t>
  </si>
  <si>
    <t xml:space="preserve">appeal</t>
  </si>
  <si>
    <t xml:space="preserve">appreciate</t>
  </si>
  <si>
    <t xml:space="preserve">aspect</t>
  </si>
  <si>
    <t xml:space="preserve">attitude</t>
  </si>
  <si>
    <t xml:space="preserve">beat</t>
  </si>
  <si>
    <t xml:space="preserve">burn</t>
  </si>
  <si>
    <t xml:space="preserve">chart</t>
  </si>
  <si>
    <t xml:space="preserve">compare</t>
  </si>
  <si>
    <t xml:space="preserve">deposit</t>
  </si>
  <si>
    <t xml:space="preserve">director</t>
  </si>
  <si>
    <t xml:space="preserve">equally</t>
  </si>
  <si>
    <t xml:space="preserve">foreign</t>
  </si>
  <si>
    <t xml:space="preserve">gear</t>
  </si>
  <si>
    <t xml:space="preserve">greatly</t>
  </si>
  <si>
    <t xml:space="preserve">hungry</t>
  </si>
  <si>
    <t xml:space="preserve">ideal</t>
  </si>
  <si>
    <t xml:space="preserve">imagine</t>
  </si>
  <si>
    <t xml:space="preserve">kitchen</t>
  </si>
  <si>
    <t xml:space="preserve">land</t>
  </si>
  <si>
    <t xml:space="preserve">log</t>
  </si>
  <si>
    <t xml:space="preserve">lost</t>
  </si>
  <si>
    <t xml:space="preserve">(adjective,verb,idiom)</t>
  </si>
  <si>
    <t xml:space="preserve">manage</t>
  </si>
  <si>
    <t xml:space="preserve">mother</t>
  </si>
  <si>
    <t xml:space="preserve">necessarily</t>
  </si>
  <si>
    <t xml:space="preserve">net</t>
  </si>
  <si>
    <t xml:space="preserve">party</t>
  </si>
  <si>
    <t xml:space="preserve">personality</t>
  </si>
  <si>
    <t xml:space="preserve">personally</t>
  </si>
  <si>
    <t xml:space="preserve">practical</t>
  </si>
  <si>
    <t xml:space="preserve">principle</t>
  </si>
  <si>
    <t xml:space="preserve">print</t>
  </si>
  <si>
    <t xml:space="preserve">(verb,noun,adjective,idiom)</t>
  </si>
  <si>
    <t xml:space="preserve">psychological</t>
  </si>
  <si>
    <t xml:space="preserve">psychology</t>
  </si>
  <si>
    <t xml:space="preserve">raise</t>
  </si>
  <si>
    <t xml:space="preserve">rarely</t>
  </si>
  <si>
    <t xml:space="preserve">recommendation</t>
  </si>
  <si>
    <t xml:space="preserve">regularly</t>
  </si>
  <si>
    <t xml:space="preserve">relative</t>
  </si>
  <si>
    <t xml:space="preserve">response</t>
  </si>
  <si>
    <t xml:space="preserve">sale</t>
  </si>
  <si>
    <t xml:space="preserve">season</t>
  </si>
  <si>
    <t xml:space="preserve">selection</t>
  </si>
  <si>
    <t xml:space="preserve">severe</t>
  </si>
  <si>
    <t xml:space="preserve">signal</t>
  </si>
  <si>
    <t xml:space="preserve">similarly</t>
  </si>
  <si>
    <t xml:space="preserve">sleep</t>
  </si>
  <si>
    <t xml:space="preserve">smooth</t>
  </si>
  <si>
    <t xml:space="preserve">somewhere</t>
  </si>
  <si>
    <t xml:space="preserve">spirit</t>
  </si>
  <si>
    <t xml:space="preserve">storage</t>
  </si>
  <si>
    <t xml:space="preserve">street</t>
  </si>
  <si>
    <t xml:space="preserve">suitable</t>
  </si>
  <si>
    <t xml:space="preserve">tree</t>
  </si>
  <si>
    <t xml:space="preserve">version</t>
  </si>
  <si>
    <t xml:space="preserve">wave</t>
  </si>
  <si>
    <t xml:space="preserve">advance</t>
  </si>
  <si>
    <t xml:space="preserve">alcohol</t>
  </si>
  <si>
    <t xml:space="preserve">anywhere</t>
  </si>
  <si>
    <t xml:space="preserve">argument</t>
  </si>
  <si>
    <t xml:space="preserve">basically</t>
  </si>
  <si>
    <t xml:space="preserve">belt</t>
  </si>
  <si>
    <t xml:space="preserve">bench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</si>
  <si>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</si>
  <si>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</si>
  <si>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</si>
  <si>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</si>
  <si>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</si>
  <si>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consist</t>
  </si>
  <si>
    <t xml:space="preserve">contract</t>
  </si>
  <si>
    <t xml:space="preserve">contribute</t>
  </si>
  <si>
    <t xml:space="preserve">copy</t>
  </si>
  <si>
    <t xml:space="preserve">dark</t>
  </si>
  <si>
    <t xml:space="preserve">(adjective,noun,idiom)</t>
  </si>
  <si>
    <t xml:space="preserve">differ</t>
  </si>
  <si>
    <t xml:space="preserve">double</t>
  </si>
  <si>
    <t xml:space="preserve">(adjective,noun,verb,adverb)</t>
  </si>
  <si>
    <t xml:space="preserve">draw</t>
  </si>
  <si>
    <t xml:space="preserve">drop</t>
  </si>
  <si>
    <t xml:space="preserve">effectively</t>
  </si>
  <si>
    <t xml:space="preserve">emphasis</t>
  </si>
  <si>
    <t xml:space="preserve">encourage</t>
  </si>
  <si>
    <t xml:space="preserve">equal</t>
  </si>
  <si>
    <t xml:space="preserve">everybody</t>
  </si>
  <si>
    <t xml:space="preserve">expand</t>
  </si>
  <si>
    <t xml:space="preserve">firm</t>
  </si>
  <si>
    <t xml:space="preserve">(adjective,verb,adverb,noun)</t>
  </si>
  <si>
    <t xml:space="preserve">fix</t>
  </si>
  <si>
    <t xml:space="preserve">frequent</t>
  </si>
  <si>
    <t xml:space="preserve">highway</t>
  </si>
  <si>
    <t xml:space="preserve">hire</t>
  </si>
  <si>
    <t xml:space="preserve">initially</t>
  </si>
  <si>
    <t xml:space="preserve">internal</t>
  </si>
  <si>
    <t xml:space="preserve">join</t>
  </si>
  <si>
    <t xml:space="preserve">kill</t>
  </si>
  <si>
    <t xml:space="preserve">literally</t>
  </si>
  <si>
    <t xml:space="preserve">loss</t>
  </si>
  <si>
    <t xml:space="preserve">mainly</t>
  </si>
  <si>
    <t xml:space="preserve">membership</t>
  </si>
  <si>
    <t xml:space="preserve">merely</t>
  </si>
  <si>
    <t xml:space="preserve">minimum</t>
  </si>
  <si>
    <t xml:space="preserve">numerous</t>
  </si>
  <si>
    <t xml:space="preserve">path</t>
  </si>
  <si>
    <t xml:space="preserve">possession</t>
  </si>
  <si>
    <t xml:space="preserve">preparation</t>
  </si>
  <si>
    <t xml:space="preserve">progress</t>
  </si>
  <si>
    <t xml:space="preserve">project</t>
  </si>
  <si>
    <t xml:space="preserve">prove</t>
  </si>
  <si>
    <t xml:space="preserve">react</t>
  </si>
  <si>
    <t xml:space="preserve">recognize</t>
  </si>
  <si>
    <t xml:space="preserve">relax</t>
  </si>
  <si>
    <t xml:space="preserve">replace</t>
  </si>
  <si>
    <t xml:space="preserve">sea</t>
  </si>
  <si>
    <t xml:space="preserve">sensitive</t>
  </si>
  <si>
    <t xml:space="preserve">sit</t>
  </si>
  <si>
    <t xml:space="preserve">south</t>
  </si>
  <si>
    <t xml:space="preserve">status</t>
  </si>
  <si>
    <t xml:space="preserve">steak</t>
  </si>
  <si>
    <t xml:space="preserve">stuff</t>
  </si>
  <si>
    <t xml:space="preserve">sufficient</t>
  </si>
  <si>
    <t xml:space="preserve">tap</t>
  </si>
  <si>
    <t xml:space="preserve">ticket</t>
  </si>
  <si>
    <t xml:space="preserve">tour</t>
  </si>
  <si>
    <t xml:space="preserve">union</t>
  </si>
  <si>
    <t xml:space="preserve">unusual</t>
  </si>
  <si>
    <t xml:space="preserve">win</t>
  </si>
  <si>
    <t xml:space="preserve">agreement</t>
  </si>
  <si>
    <t xml:space="preserve">angle</t>
  </si>
  <si>
    <t xml:space="preserve">attack</t>
  </si>
  <si>
    <t xml:space="preserve">blue</t>
  </si>
  <si>
    <t xml:space="preserve">borrow</t>
  </si>
  <si>
    <t xml:space="preserve">breakfast</t>
  </si>
  <si>
    <t xml:space="preserve">cancer</t>
  </si>
  <si>
    <t xml:space="preserve">claim</t>
  </si>
  <si>
    <t xml:space="preserve">confidence</t>
  </si>
  <si>
    <t xml:space="preserve">consistent</t>
  </si>
  <si>
    <t xml:space="preserve">constant</t>
  </si>
  <si>
    <t xml:space="preserve">cultural</t>
  </si>
  <si>
    <t xml:space="preserve">currency</t>
  </si>
  <si>
    <t xml:space="preserve">daughter</t>
  </si>
  <si>
    <t xml:space="preserve">degree</t>
  </si>
  <si>
    <t xml:space="preserve">doctor</t>
  </si>
  <si>
    <t xml:space="preserve">dot</t>
  </si>
  <si>
    <t xml:space="preserve">drag</t>
  </si>
  <si>
    <t xml:space="preserve">dream</t>
  </si>
  <si>
    <t xml:space="preserve">drink</t>
  </si>
  <si>
    <t xml:space="preserve">قال</t>
  </si>
  <si>
    <t xml:space="preserve">duty</t>
  </si>
  <si>
    <t xml:space="preserve">earn</t>
  </si>
  <si>
    <t xml:space="preserve">emphasize</t>
  </si>
  <si>
    <t xml:space="preserve">employment</t>
  </si>
  <si>
    <t xml:space="preserve">enable</t>
  </si>
  <si>
    <t xml:space="preserve">engineering</t>
  </si>
  <si>
    <t xml:space="preserve">entry</t>
  </si>
  <si>
    <t xml:space="preserve">essay</t>
  </si>
  <si>
    <t xml:space="preserve">existing</t>
  </si>
  <si>
    <t xml:space="preserve">famous</t>
  </si>
  <si>
    <t xml:space="preserve">father</t>
  </si>
  <si>
    <t xml:space="preserve">fee</t>
  </si>
  <si>
    <t xml:space="preserve">finance</t>
  </si>
  <si>
    <t xml:space="preserve">gently</t>
  </si>
  <si>
    <t xml:space="preserve">guess</t>
  </si>
  <si>
    <t xml:space="preserve">hopefully</t>
  </si>
  <si>
    <t xml:space="preserve">hour</t>
  </si>
  <si>
    <t xml:space="preserve">interaction</t>
  </si>
  <si>
    <t xml:space="preserve">juice</t>
  </si>
  <si>
    <t xml:space="preserve">limit</t>
  </si>
  <si>
    <t xml:space="preserve">luck</t>
  </si>
  <si>
    <t xml:space="preserve">milk</t>
  </si>
  <si>
    <t xml:space="preserve">minor</t>
  </si>
  <si>
    <t xml:space="preserve">mixed</t>
  </si>
  <si>
    <t xml:space="preserve">mouth</t>
  </si>
  <si>
    <t xml:space="preserve">nor</t>
  </si>
  <si>
    <t xml:space="preserve">operate</t>
  </si>
  <si>
    <t xml:space="preserve">originally</t>
  </si>
  <si>
    <t xml:space="preserve">peace</t>
  </si>
  <si>
    <t xml:space="preserve">(noun,interjection,verb,idiom)</t>
  </si>
  <si>
    <t xml:space="preserve">pipe</t>
  </si>
  <si>
    <t xml:space="preserve">please</t>
  </si>
  <si>
    <t xml:space="preserve">(adverb,verb,idiom)</t>
  </si>
  <si>
    <t xml:space="preserve">preference</t>
  </si>
  <si>
    <t xml:space="preserve">mixture</t>
  </si>
  <si>
    <t xml:space="preserve">previous</t>
  </si>
  <si>
    <t xml:space="preserve">(adjective,idiom)</t>
  </si>
  <si>
    <t xml:space="preserve">pull</t>
  </si>
  <si>
    <t xml:space="preserve">pure</t>
  </si>
  <si>
    <t xml:space="preserve">raw</t>
  </si>
  <si>
    <t xml:space="preserve">reflect</t>
  </si>
  <si>
    <t xml:space="preserve">region</t>
  </si>
  <si>
    <t xml:space="preserve">republic</t>
  </si>
  <si>
    <t xml:space="preserve">roughly</t>
  </si>
  <si>
    <t xml:space="preserve">seat</t>
  </si>
  <si>
    <t xml:space="preserve">send</t>
  </si>
  <si>
    <t xml:space="preserve">significantly</t>
  </si>
  <si>
    <t xml:space="preserve">soft</t>
  </si>
  <si>
    <t xml:space="preserve">solid</t>
  </si>
  <si>
    <t xml:space="preserve">stable</t>
  </si>
  <si>
    <t xml:space="preserve">storm</t>
  </si>
  <si>
    <t xml:space="preserve">substance</t>
  </si>
  <si>
    <t xml:space="preserve">team</t>
  </si>
  <si>
    <t xml:space="preserve">tradition</t>
  </si>
  <si>
    <t xml:space="preserve">trick</t>
  </si>
  <si>
    <t xml:space="preserve">virus</t>
  </si>
  <si>
    <t xml:space="preserve">wear</t>
  </si>
  <si>
    <t xml:space="preserve">weird</t>
  </si>
  <si>
    <t xml:space="preserve">wonder</t>
  </si>
  <si>
    <t xml:space="preserve">actor</t>
  </si>
  <si>
    <t xml:space="preserve">afraid</t>
  </si>
  <si>
    <t xml:space="preserve">afternoon</t>
  </si>
  <si>
    <t xml:space="preserve">amazing</t>
  </si>
  <si>
    <t xml:space="preserve">annual</t>
  </si>
  <si>
    <t xml:space="preserve">anticipate</t>
  </si>
  <si>
    <t xml:space="preserve">assume</t>
  </si>
  <si>
    <t xml:space="preserve">bat</t>
  </si>
  <si>
    <t xml:space="preserve">beach</t>
  </si>
  <si>
    <t xml:space="preserve">blank</t>
  </si>
  <si>
    <t xml:space="preserve">busy</t>
  </si>
  <si>
    <t xml:space="preserve">catch</t>
  </si>
  <si>
    <t xml:space="preserve">chain</t>
  </si>
  <si>
    <t xml:space="preserve">classroom</t>
  </si>
  <si>
    <t xml:space="preserve">consideration</t>
  </si>
  <si>
    <t xml:space="preserve">count</t>
  </si>
  <si>
    <t xml:space="preserve">cream</t>
  </si>
  <si>
    <t xml:space="preserve">crew</t>
  </si>
  <si>
    <t xml:space="preserve">dead</t>
  </si>
  <si>
    <t xml:space="preserve">(adjective,noun,adverb,idiom)</t>
  </si>
  <si>
    <t xml:space="preserve">delivery</t>
  </si>
  <si>
    <t xml:space="preserve">detail</t>
  </si>
  <si>
    <t xml:space="preserve">detailed</t>
  </si>
  <si>
    <t xml:space="preserve">device</t>
  </si>
  <si>
    <t xml:space="preserve">difficulty</t>
  </si>
  <si>
    <t xml:space="preserve">doubt</t>
  </si>
  <si>
    <t xml:space="preserve">drama</t>
  </si>
  <si>
    <t xml:space="preserve">election</t>
  </si>
  <si>
    <t xml:space="preserve">engage</t>
  </si>
  <si>
    <t xml:space="preserve">engine</t>
  </si>
  <si>
    <t xml:space="preserve">enhance</t>
  </si>
  <si>
    <t xml:space="preserve">examine</t>
  </si>
  <si>
    <t xml:space="preserve">(adjective,adverb,idiom)</t>
  </si>
  <si>
    <t xml:space="preserve">feed</t>
  </si>
  <si>
    <t xml:space="preserve">football</t>
  </si>
  <si>
    <t xml:space="preserve">forever</t>
  </si>
  <si>
    <t xml:space="preserve">(adverb,noun,idiom)</t>
  </si>
  <si>
    <t xml:space="preserve">gold</t>
  </si>
  <si>
    <t xml:space="preserve">guidance</t>
  </si>
  <si>
    <t xml:space="preserve">hotel</t>
  </si>
  <si>
    <t xml:space="preserve">impress</t>
  </si>
  <si>
    <t xml:space="preserve">install</t>
  </si>
  <si>
    <t xml:space="preserve">interview</t>
  </si>
  <si>
    <t xml:space="preserve">kid</t>
  </si>
  <si>
    <t xml:space="preserve">mark</t>
  </si>
  <si>
    <t xml:space="preserve">match</t>
  </si>
  <si>
    <t xml:space="preserve">mission</t>
  </si>
  <si>
    <t xml:space="preserve">nobody</t>
  </si>
  <si>
    <t xml:space="preserve">obvious</t>
  </si>
  <si>
    <t xml:space="preserve">ourselves</t>
  </si>
  <si>
    <t xml:space="preserve">owner</t>
  </si>
  <si>
    <t xml:space="preserve">pain</t>
  </si>
  <si>
    <t xml:space="preserve">participate</t>
  </si>
  <si>
    <t xml:space="preserve">pleasure</t>
  </si>
  <si>
    <t xml:space="preserve">priority</t>
  </si>
  <si>
    <t xml:space="preserve">protection</t>
  </si>
  <si>
    <t xml:space="preserve">repeat</t>
  </si>
  <si>
    <t xml:space="preserve">round</t>
  </si>
  <si>
    <t xml:space="preserve">score</t>
  </si>
  <si>
    <t xml:space="preserve">screw</t>
  </si>
  <si>
    <t xml:space="preserve">seek</t>
  </si>
  <si>
    <t xml:space="preserve">sex</t>
  </si>
  <si>
    <t xml:space="preserve">sharp</t>
  </si>
  <si>
    <t xml:space="preserve">shop</t>
  </si>
  <si>
    <t xml:space="preserve">(noun,verb,interjection,idiom)</t>
  </si>
  <si>
    <t xml:space="preserve">shower</t>
  </si>
  <si>
    <t xml:space="preserve">sing</t>
  </si>
  <si>
    <t xml:space="preserve">slide</t>
  </si>
  <si>
    <t xml:space="preserve">strip</t>
  </si>
  <si>
    <t xml:space="preserve">suggestion</t>
  </si>
  <si>
    <t xml:space="preserve">suit</t>
  </si>
  <si>
    <t xml:space="preserve">tension</t>
  </si>
  <si>
    <t xml:space="preserve">thick</t>
  </si>
  <si>
    <t xml:space="preserve">tone</t>
  </si>
  <si>
    <t xml:space="preserve">totally</t>
  </si>
  <si>
    <t xml:space="preserve">twice</t>
  </si>
  <si>
    <t xml:space="preserve">variation</t>
  </si>
  <si>
    <t xml:space="preserve">whereas</t>
  </si>
  <si>
    <t xml:space="preserve">window</t>
  </si>
  <si>
    <t xml:space="preserve">wise</t>
  </si>
  <si>
    <t xml:space="preserve">wish</t>
  </si>
  <si>
    <t xml:space="preserve">agent</t>
  </si>
  <si>
    <t xml:space="preserve">anxiety</t>
  </si>
  <si>
    <t xml:space="preserve">atmosphere</t>
  </si>
  <si>
    <t xml:space="preserve">awareness</t>
  </si>
  <si>
    <t xml:space="preserve">band</t>
  </si>
  <si>
    <t xml:space="preserve">bath</t>
  </si>
  <si>
    <t xml:space="preserve">block</t>
  </si>
  <si>
    <t xml:space="preserve">bone</t>
  </si>
  <si>
    <t xml:space="preserve">bread</t>
  </si>
  <si>
    <t xml:space="preserve">calendar</t>
  </si>
  <si>
    <t xml:space="preserve">candidate</t>
  </si>
  <si>
    <t xml:space="preserve">cap</t>
  </si>
  <si>
    <t xml:space="preserve">careful</t>
  </si>
  <si>
    <t xml:space="preserve">climate</t>
  </si>
  <si>
    <t xml:space="preserve">coat</t>
  </si>
  <si>
    <t xml:space="preserve">collect</t>
  </si>
  <si>
    <t xml:space="preserve">(verb,adverb,noun)</t>
  </si>
  <si>
    <t xml:space="preserve">combine</t>
  </si>
  <si>
    <t xml:space="preserve">command</t>
  </si>
  <si>
    <t xml:space="preserve">comparison</t>
  </si>
  <si>
    <t xml:space="preserve">confusion</t>
  </si>
  <si>
    <t xml:space="preserve">construction</t>
  </si>
  <si>
    <t xml:space="preserve">contest</t>
  </si>
  <si>
    <t xml:space="preserve">corner</t>
  </si>
  <si>
    <t xml:space="preserve">court</t>
  </si>
  <si>
    <t xml:space="preserve">cup</t>
  </si>
  <si>
    <t xml:space="preserve">dig</t>
  </si>
  <si>
    <t xml:space="preserve">district</t>
  </si>
  <si>
    <t xml:space="preserve">divide</t>
  </si>
  <si>
    <t xml:space="preserve">door</t>
  </si>
  <si>
    <t xml:space="preserve">east</t>
  </si>
  <si>
    <t xml:space="preserve">elevator</t>
  </si>
  <si>
    <t xml:space="preserve">elsewhere</t>
  </si>
  <si>
    <t xml:space="preserve">emotion</t>
  </si>
  <si>
    <t xml:space="preserve">employee</t>
  </si>
  <si>
    <t xml:space="preserve">employer</t>
  </si>
  <si>
    <t xml:space="preserve">equivalent</t>
  </si>
  <si>
    <t xml:space="preserve">everywhere</t>
  </si>
  <si>
    <t xml:space="preserve">except</t>
  </si>
  <si>
    <t xml:space="preserve">(preposition,conjunction,idiom)</t>
  </si>
  <si>
    <t xml:space="preserve">finger</t>
  </si>
  <si>
    <t xml:space="preserve">garage</t>
  </si>
  <si>
    <t xml:space="preserve">guarantee</t>
  </si>
  <si>
    <t xml:space="preserve">guest</t>
  </si>
  <si>
    <t xml:space="preserve">hang</t>
  </si>
  <si>
    <t xml:space="preserve">height</t>
  </si>
  <si>
    <t xml:space="preserve">himself</t>
  </si>
  <si>
    <t xml:space="preserve">hole</t>
  </si>
  <si>
    <t xml:space="preserve">hook</t>
  </si>
  <si>
    <t xml:space="preserve">hunt</t>
  </si>
  <si>
    <t xml:space="preserve">implement</t>
  </si>
  <si>
    <t xml:space="preserve">initial</t>
  </si>
  <si>
    <t xml:space="preserve">intend</t>
  </si>
  <si>
    <t xml:space="preserve">introduce</t>
  </si>
  <si>
    <t xml:space="preserve">latter</t>
  </si>
  <si>
    <t xml:space="preserve">layer</t>
  </si>
  <si>
    <t xml:space="preserve">leadership</t>
  </si>
  <si>
    <t xml:space="preserve">lecture</t>
  </si>
  <si>
    <t xml:space="preserve">lie</t>
  </si>
  <si>
    <t xml:space="preserve">mall</t>
  </si>
  <si>
    <t xml:space="preserve">manager</t>
  </si>
  <si>
    <t xml:space="preserve">manner</t>
  </si>
  <si>
    <t xml:space="preserve">march</t>
  </si>
  <si>
    <t xml:space="preserve">married</t>
  </si>
  <si>
    <t xml:space="preserve">meeting</t>
  </si>
  <si>
    <t xml:space="preserve">mention</t>
  </si>
  <si>
    <t xml:space="preserve">narrow</t>
  </si>
  <si>
    <t xml:space="preserve">nearby</t>
  </si>
  <si>
    <t xml:space="preserve">neither</t>
  </si>
  <si>
    <t xml:space="preserve">(conjunction,adjective,pronoun)</t>
  </si>
  <si>
    <t xml:space="preserve">nose</t>
  </si>
  <si>
    <t xml:space="preserve">obviously</t>
  </si>
  <si>
    <t xml:space="preserve">operation</t>
  </si>
  <si>
    <t xml:space="preserve">parking</t>
  </si>
  <si>
    <t xml:space="preserve">partner</t>
  </si>
  <si>
    <t xml:space="preserve">perfectly</t>
  </si>
  <si>
    <t xml:space="preserve">physically</t>
  </si>
  <si>
    <t xml:space="preserve">profile</t>
  </si>
  <si>
    <t xml:space="preserve">proud</t>
  </si>
  <si>
    <t xml:space="preserve">recording</t>
  </si>
  <si>
    <t xml:space="preserve">relate</t>
  </si>
  <si>
    <t xml:space="preserve">respect</t>
  </si>
  <si>
    <t xml:space="preserve">rice</t>
  </si>
  <si>
    <t xml:space="preserve">routine</t>
  </si>
  <si>
    <t xml:space="preserve">sample</t>
  </si>
  <si>
    <t xml:space="preserve">schedule</t>
  </si>
  <si>
    <t xml:space="preserve">settle</t>
  </si>
  <si>
    <t xml:space="preserve">smell</t>
  </si>
  <si>
    <t xml:space="preserve">somehow</t>
  </si>
  <si>
    <t xml:space="preserve">(adverb,idiom)</t>
  </si>
  <si>
    <t xml:space="preserve">spiritual</t>
  </si>
  <si>
    <t xml:space="preserve">survey</t>
  </si>
  <si>
    <t xml:space="preserve">swimming</t>
  </si>
  <si>
    <t xml:space="preserve">telephone</t>
  </si>
  <si>
    <t xml:space="preserve">tie</t>
  </si>
  <si>
    <t xml:space="preserve">tip</t>
  </si>
  <si>
    <t xml:space="preserve">transportation</t>
  </si>
  <si>
    <t xml:space="preserve">unhappy</t>
  </si>
  <si>
    <t xml:space="preserve">wild</t>
  </si>
  <si>
    <t xml:space="preserve">winter</t>
  </si>
  <si>
    <t xml:space="preserve">absolutely</t>
  </si>
  <si>
    <t xml:space="preserve">acceptable</t>
  </si>
  <si>
    <t xml:space="preserve">adult</t>
  </si>
  <si>
    <t xml:space="preserve">aggressive</t>
  </si>
  <si>
    <t xml:space="preserve">airline</t>
  </si>
  <si>
    <t xml:space="preserve">apart</t>
  </si>
  <si>
    <t xml:space="preserve">assure</t>
  </si>
  <si>
    <t xml:space="preserve">attract</t>
  </si>
  <si>
    <t xml:space="preserve">bag</t>
  </si>
  <si>
    <t xml:space="preserve">battle</t>
  </si>
  <si>
    <t xml:space="preserve">bed</t>
  </si>
  <si>
    <t xml:space="preserve">bill</t>
  </si>
  <si>
    <t xml:space="preserve">boring</t>
  </si>
  <si>
    <t xml:space="preserve">bother</t>
  </si>
  <si>
    <t xml:space="preserve">brief</t>
  </si>
  <si>
    <t xml:space="preserve">cake</t>
  </si>
  <si>
    <t xml:space="preserve">charity</t>
  </si>
  <si>
    <t xml:space="preserve">code</t>
  </si>
  <si>
    <t xml:space="preserve">cousin</t>
  </si>
  <si>
    <t xml:space="preserve">crazy</t>
  </si>
  <si>
    <t xml:space="preserve">curve</t>
  </si>
  <si>
    <t xml:space="preserve">designer</t>
  </si>
  <si>
    <t xml:space="preserve">dimension</t>
  </si>
  <si>
    <t xml:space="preserve">disaster</t>
  </si>
  <si>
    <t xml:space="preserve">distinct</t>
  </si>
  <si>
    <t xml:space="preserve">distribute</t>
  </si>
  <si>
    <t xml:space="preserve">dress</t>
  </si>
  <si>
    <t xml:space="preserve">ease</t>
  </si>
  <si>
    <t xml:space="preserve">eastern</t>
  </si>
  <si>
    <t xml:space="preserve">editor</t>
  </si>
  <si>
    <t xml:space="preserve">efficiency</t>
  </si>
  <si>
    <t xml:space="preserve">emergency</t>
  </si>
  <si>
    <t xml:space="preserve">escape</t>
  </si>
  <si>
    <t xml:space="preserve">evening</t>
  </si>
  <si>
    <t xml:space="preserve">excitement</t>
  </si>
  <si>
    <t xml:space="preserve">expose</t>
  </si>
  <si>
    <t xml:space="preserve">extension</t>
  </si>
  <si>
    <t xml:space="preserve">extent</t>
  </si>
  <si>
    <t xml:space="preserve">farm</t>
  </si>
  <si>
    <t xml:space="preserve">fight</t>
  </si>
  <si>
    <t xml:space="preserve">gap</t>
  </si>
  <si>
    <t xml:space="preserve">gather</t>
  </si>
  <si>
    <t xml:space="preserve">grade</t>
  </si>
  <si>
    <t xml:space="preserve">guitar</t>
  </si>
  <si>
    <t xml:space="preserve">hate</t>
  </si>
  <si>
    <t xml:space="preserve">holiday</t>
  </si>
  <si>
    <t xml:space="preserve">homework</t>
  </si>
  <si>
    <t xml:space="preserve">horror</t>
  </si>
  <si>
    <t xml:space="preserve">horse</t>
  </si>
  <si>
    <t xml:space="preserve">host</t>
  </si>
  <si>
    <t xml:space="preserve">husband</t>
  </si>
  <si>
    <t xml:space="preserve">leader</t>
  </si>
  <si>
    <t xml:space="preserve">loan</t>
  </si>
  <si>
    <t xml:space="preserve">logical</t>
  </si>
  <si>
    <t xml:space="preserve">mistake</t>
  </si>
  <si>
    <t xml:space="preserve">mom</t>
  </si>
  <si>
    <t xml:space="preserve">mountain</t>
  </si>
  <si>
    <t xml:space="preserve">nail</t>
  </si>
  <si>
    <t xml:space="preserve">noise</t>
  </si>
  <si>
    <t xml:space="preserve">none</t>
  </si>
  <si>
    <t xml:space="preserve">(pronoun,adverb,adjective)</t>
  </si>
  <si>
    <t xml:space="preserve">occasion</t>
  </si>
  <si>
    <t xml:space="preserve">outcome</t>
  </si>
  <si>
    <t xml:space="preserve">overcome</t>
  </si>
  <si>
    <t xml:space="preserve">owe</t>
  </si>
  <si>
    <t xml:space="preserve">package</t>
  </si>
  <si>
    <t xml:space="preserve">patient</t>
  </si>
  <si>
    <t xml:space="preserve">pause</t>
  </si>
  <si>
    <t xml:space="preserve">permission</t>
  </si>
  <si>
    <t xml:space="preserve">phrase</t>
  </si>
  <si>
    <t xml:space="preserve">presentation</t>
  </si>
  <si>
    <t xml:space="preserve">prior</t>
  </si>
  <si>
    <t xml:space="preserve">promotion</t>
  </si>
  <si>
    <t xml:space="preserve">proof</t>
  </si>
  <si>
    <t xml:space="preserve">race</t>
  </si>
  <si>
    <t xml:space="preserve">reasonable</t>
  </si>
  <si>
    <t xml:space="preserve">reflection</t>
  </si>
  <si>
    <t xml:space="preserve">refrigerator</t>
  </si>
  <si>
    <t xml:space="preserve">relief</t>
  </si>
  <si>
    <t xml:space="preserve">repair</t>
  </si>
  <si>
    <t xml:space="preserve">resolution</t>
  </si>
  <si>
    <t xml:space="preserve">revenue</t>
  </si>
  <si>
    <t xml:space="preserve">rough</t>
  </si>
  <si>
    <t xml:space="preserve">sad</t>
  </si>
  <si>
    <t xml:space="preserve">sand</t>
  </si>
  <si>
    <t xml:space="preserve">scratch</t>
  </si>
  <si>
    <t xml:space="preserve">sentence</t>
  </si>
  <si>
    <t xml:space="preserve">session</t>
  </si>
  <si>
    <t xml:space="preserve">shoulder</t>
  </si>
  <si>
    <t xml:space="preserve">sick</t>
  </si>
  <si>
    <t xml:space="preserve">singer</t>
  </si>
  <si>
    <t xml:space="preserve">smoke</t>
  </si>
  <si>
    <t xml:space="preserve">stomach</t>
  </si>
  <si>
    <t xml:space="preserve">strange</t>
  </si>
  <si>
    <t xml:space="preserve">strict</t>
  </si>
  <si>
    <t xml:space="preserve">strike</t>
  </si>
  <si>
    <t xml:space="preserve">string</t>
  </si>
  <si>
    <t xml:space="preserve">succeed</t>
  </si>
  <si>
    <t xml:space="preserve">successfully</t>
  </si>
  <si>
    <t xml:space="preserve">suddenly</t>
  </si>
  <si>
    <t xml:space="preserve">suffer</t>
  </si>
  <si>
    <t xml:space="preserve">surprised</t>
  </si>
  <si>
    <t xml:space="preserve">tennis</t>
  </si>
  <si>
    <t xml:space="preserve">throw</t>
  </si>
  <si>
    <t xml:space="preserve">tourist</t>
  </si>
  <si>
    <t xml:space="preserve">towel</t>
  </si>
  <si>
    <t xml:space="preserve">truly</t>
  </si>
  <si>
    <t xml:space="preserve">vacation</t>
  </si>
  <si>
    <t xml:space="preserve">virtually</t>
  </si>
  <si>
    <t xml:space="preserve">west</t>
  </si>
  <si>
    <t xml:space="preserve">(noun,adjective,adverb,idiom)</t>
  </si>
  <si>
    <t xml:space="preserve">wheel</t>
  </si>
  <si>
    <t xml:space="preserve">wine</t>
  </si>
  <si>
    <t xml:space="preserve">acquire</t>
  </si>
  <si>
    <t xml:space="preserve">adapt</t>
  </si>
  <si>
    <t xml:space="preserve">adjust</t>
  </si>
  <si>
    <t xml:space="preserve">administrative</t>
  </si>
  <si>
    <t xml:space="preserve">altogether</t>
  </si>
  <si>
    <t xml:space="preserve">anyway</t>
  </si>
  <si>
    <t xml:space="preserve">argue</t>
  </si>
  <si>
    <t xml:space="preserve">arise</t>
  </si>
  <si>
    <t xml:space="preserve">arm</t>
  </si>
  <si>
    <t xml:space="preserve">aside</t>
  </si>
  <si>
    <t xml:space="preserve">associate</t>
  </si>
  <si>
    <t xml:space="preserve">automatic</t>
  </si>
  <si>
    <t xml:space="preserve">automatically</t>
  </si>
  <si>
    <t xml:space="preserve">basket</t>
  </si>
  <si>
    <t xml:space="preserve">bet</t>
  </si>
  <si>
    <t xml:space="preserve">blow</t>
  </si>
  <si>
    <t xml:space="preserve">bonus</t>
  </si>
  <si>
    <t xml:space="preserve">border</t>
  </si>
  <si>
    <t xml:space="preserve">branch</t>
  </si>
  <si>
    <t xml:space="preserve">breast</t>
  </si>
  <si>
    <t xml:space="preserve">brother</t>
  </si>
  <si>
    <t xml:space="preserve">(noun,interjection)</t>
  </si>
  <si>
    <t xml:space="preserve">buddy</t>
  </si>
  <si>
    <t xml:space="preserve">bunch</t>
  </si>
  <si>
    <t xml:space="preserve">cabinet</t>
  </si>
  <si>
    <t xml:space="preserve">childhood</t>
  </si>
  <si>
    <t xml:space="preserve">chip</t>
  </si>
  <si>
    <t xml:space="preserve">church</t>
  </si>
  <si>
    <t xml:space="preserve">civil</t>
  </si>
  <si>
    <t xml:space="preserve">clothes</t>
  </si>
  <si>
    <t xml:space="preserve">coach</t>
  </si>
  <si>
    <t xml:space="preserve">coffee</t>
  </si>
  <si>
    <t xml:space="preserve">confirm</t>
  </si>
  <si>
    <t xml:space="preserve">cross</t>
  </si>
  <si>
    <t xml:space="preserve">deeply</t>
  </si>
  <si>
    <t xml:space="preserve">definitely</t>
  </si>
  <si>
    <t xml:space="preserve">deliberately</t>
  </si>
  <si>
    <t xml:space="preserve">dinner</t>
  </si>
  <si>
    <t xml:space="preserve">document</t>
  </si>
  <si>
    <t xml:space="preserve">draft</t>
  </si>
  <si>
    <t xml:space="preserve">drawing</t>
  </si>
  <si>
    <t xml:space="preserve">dust</t>
  </si>
  <si>
    <t xml:space="preserve">employ</t>
  </si>
  <si>
    <t xml:space="preserve">encouraging</t>
  </si>
  <si>
    <t xml:space="preserve">expert</t>
  </si>
  <si>
    <t xml:space="preserve">external</t>
  </si>
  <si>
    <t xml:space="preserve">floor</t>
  </si>
  <si>
    <t xml:space="preserve">former</t>
  </si>
  <si>
    <t xml:space="preserve">god</t>
  </si>
  <si>
    <t xml:space="preserve">golf</t>
  </si>
  <si>
    <t xml:space="preserve">habit</t>
  </si>
  <si>
    <t xml:space="preserve">hair</t>
  </si>
  <si>
    <t xml:space="preserve">hardly</t>
  </si>
  <si>
    <t xml:space="preserve">hearing</t>
  </si>
  <si>
    <t xml:space="preserve">hurt</t>
  </si>
  <si>
    <t xml:space="preserve">illegal</t>
  </si>
  <si>
    <t xml:space="preserve">incorporate</t>
  </si>
  <si>
    <t xml:space="preserve">initiative</t>
  </si>
  <si>
    <t xml:space="preserve">iron</t>
  </si>
  <si>
    <t xml:space="preserve">judge</t>
  </si>
  <si>
    <t xml:space="preserve">judgment</t>
  </si>
  <si>
    <t xml:space="preserve">justify</t>
  </si>
  <si>
    <t xml:space="preserve">knife</t>
  </si>
  <si>
    <t xml:space="preserve">lab</t>
  </si>
  <si>
    <t xml:space="preserve">landscape</t>
  </si>
  <si>
    <t xml:space="preserve">laugh</t>
  </si>
  <si>
    <t xml:space="preserve">lay</t>
  </si>
  <si>
    <t xml:space="preserve">league</t>
  </si>
  <si>
    <t xml:space="preserve">loud</t>
  </si>
  <si>
    <t xml:space="preserve">mail</t>
  </si>
  <si>
    <t xml:space="preserve">massive</t>
  </si>
  <si>
    <t xml:space="preserve">measurement</t>
  </si>
  <si>
    <t xml:space="preserve">mess</t>
  </si>
  <si>
    <t xml:space="preserve">mobile</t>
  </si>
  <si>
    <t xml:space="preserve">mode</t>
  </si>
  <si>
    <t xml:space="preserve">mud</t>
  </si>
  <si>
    <t xml:space="preserve">nasty</t>
  </si>
  <si>
    <t xml:space="preserve">native</t>
  </si>
  <si>
    <t xml:space="preserve">opening</t>
  </si>
  <si>
    <t xml:space="preserve">orange</t>
  </si>
  <si>
    <t xml:space="preserve">ordinary</t>
  </si>
  <si>
    <t xml:space="preserve">organize</t>
  </si>
  <si>
    <t xml:space="preserve">ought</t>
  </si>
  <si>
    <t xml:space="preserve">parent</t>
  </si>
  <si>
    <t xml:space="preserve">pattern</t>
  </si>
  <si>
    <t xml:space="preserve">pin</t>
  </si>
  <si>
    <t xml:space="preserve">poetry</t>
  </si>
  <si>
    <t xml:space="preserve">police</t>
  </si>
  <si>
    <t xml:space="preserve">pool</t>
  </si>
  <si>
    <t xml:space="preserve">possess</t>
  </si>
  <si>
    <t xml:space="preserve">possibility</t>
  </si>
  <si>
    <t xml:space="preserve">pound</t>
  </si>
  <si>
    <t xml:space="preserve">procedure</t>
  </si>
  <si>
    <t xml:space="preserve">queen</t>
  </si>
  <si>
    <t xml:space="preserve">ratio</t>
  </si>
  <si>
    <t xml:space="preserve">readily</t>
  </si>
  <si>
    <t xml:space="preserve">relation</t>
  </si>
  <si>
    <t xml:space="preserve">relieve</t>
  </si>
  <si>
    <t xml:space="preserve">request</t>
  </si>
  <si>
    <t xml:space="preserve">respond</t>
  </si>
  <si>
    <t xml:space="preserve">restaurant</t>
  </si>
  <si>
    <t xml:space="preserve">retain</t>
  </si>
  <si>
    <t xml:space="preserve">royal</t>
  </si>
  <si>
    <t xml:space="preserve">salary</t>
  </si>
  <si>
    <t xml:space="preserve">satisfaction</t>
  </si>
  <si>
    <t xml:space="preserve">sector</t>
  </si>
  <si>
    <t xml:space="preserve">senior</t>
  </si>
  <si>
    <t xml:space="preserve">shame</t>
  </si>
  <si>
    <t xml:space="preserve">shelter</t>
  </si>
  <si>
    <t xml:space="preserve">shoe</t>
  </si>
  <si>
    <t xml:space="preserve">shut</t>
  </si>
  <si>
    <t xml:space="preserve">signature</t>
  </si>
  <si>
    <t xml:space="preserve">significance</t>
  </si>
  <si>
    <t xml:space="preserve">silver</t>
  </si>
  <si>
    <t xml:space="preserve">somebody</t>
  </si>
  <si>
    <t xml:space="preserve">song</t>
  </si>
  <si>
    <t xml:space="preserve">southern</t>
  </si>
  <si>
    <t xml:space="preserve">split</t>
  </si>
  <si>
    <t xml:space="preserve">strain</t>
  </si>
  <si>
    <t xml:space="preserve">struggle</t>
  </si>
  <si>
    <t xml:space="preserve">super</t>
  </si>
  <si>
    <t xml:space="preserve">swim</t>
  </si>
  <si>
    <t xml:space="preserve">tackle</t>
  </si>
  <si>
    <t xml:space="preserve">tank</t>
  </si>
  <si>
    <t xml:space="preserve">terribly</t>
  </si>
  <si>
    <t xml:space="preserve">tight</t>
  </si>
  <si>
    <t xml:space="preserve">tooth</t>
  </si>
  <si>
    <t xml:space="preserve">town</t>
  </si>
  <si>
    <t xml:space="preserve">train</t>
  </si>
  <si>
    <t xml:space="preserve">trust</t>
  </si>
  <si>
    <t xml:space="preserve">unfair</t>
  </si>
  <si>
    <t xml:space="preserve">unfortunately</t>
  </si>
  <si>
    <t xml:space="preserve">upper</t>
  </si>
  <si>
    <t xml:space="preserve">vehicle</t>
  </si>
  <si>
    <t xml:space="preserve">visible</t>
  </si>
  <si>
    <t xml:space="preserve">volume</t>
  </si>
  <si>
    <t xml:space="preserve">wash</t>
  </si>
  <si>
    <t xml:space="preserve">waste</t>
  </si>
  <si>
    <t xml:space="preserve">wife</t>
  </si>
  <si>
    <t xml:space="preserve">yellow</t>
  </si>
  <si>
    <t xml:space="preserve">yours</t>
  </si>
  <si>
    <t xml:space="preserve">accident</t>
  </si>
  <si>
    <t xml:space="preserve">airport</t>
  </si>
  <si>
    <t xml:space="preserve">alive</t>
  </si>
  <si>
    <t xml:space="preserve">angry</t>
  </si>
  <si>
    <t xml:space="preserve">appointment</t>
  </si>
  <si>
    <t xml:space="preserve">arrival</t>
  </si>
  <si>
    <t xml:space="preserve">assist</t>
  </si>
  <si>
    <t xml:space="preserve">assumption</t>
  </si>
  <si>
    <t xml:space="preserve">bake</t>
  </si>
  <si>
    <t xml:space="preserve">bar</t>
  </si>
  <si>
    <t xml:space="preserve">(noun,verb,preposition)</t>
  </si>
  <si>
    <t xml:space="preserve">baseball</t>
  </si>
  <si>
    <t xml:space="preserve">bell</t>
  </si>
  <si>
    <t xml:space="preserve">bike</t>
  </si>
  <si>
    <t xml:space="preserve">blame</t>
  </si>
  <si>
    <t xml:space="preserve">boy</t>
  </si>
  <si>
    <t xml:space="preserve">brick</t>
  </si>
  <si>
    <t xml:space="preserve">calculate</t>
  </si>
  <si>
    <t xml:space="preserve">chair</t>
  </si>
  <si>
    <t xml:space="preserve">chapter</t>
  </si>
  <si>
    <t xml:space="preserve">closet</t>
  </si>
  <si>
    <t xml:space="preserve">clue</t>
  </si>
  <si>
    <t xml:space="preserve">collar</t>
  </si>
  <si>
    <t xml:space="preserve">comment</t>
  </si>
  <si>
    <t xml:space="preserve">committee</t>
  </si>
  <si>
    <t xml:space="preserve">compete</t>
  </si>
  <si>
    <t xml:space="preserve">concerning</t>
  </si>
  <si>
    <t xml:space="preserve">conference</t>
  </si>
  <si>
    <t xml:space="preserve">consult</t>
  </si>
  <si>
    <t xml:space="preserve">conversation</t>
  </si>
  <si>
    <t xml:space="preserve">convert</t>
  </si>
  <si>
    <t xml:space="preserve">crash</t>
  </si>
  <si>
    <t xml:space="preserve">database</t>
  </si>
  <si>
    <t xml:space="preserve">deliver</t>
  </si>
  <si>
    <t xml:space="preserve">dependent</t>
  </si>
  <si>
    <t xml:space="preserve">desperate</t>
  </si>
  <si>
    <t xml:space="preserve">devil</t>
  </si>
  <si>
    <t xml:space="preserve">diet</t>
  </si>
  <si>
    <t xml:space="preserve">enthusiasm</t>
  </si>
  <si>
    <t xml:space="preserve">error</t>
  </si>
  <si>
    <t xml:space="preserve">exciting</t>
  </si>
  <si>
    <t xml:space="preserve">explanation</t>
  </si>
  <si>
    <t xml:space="preserve">extend</t>
  </si>
  <si>
    <t xml:space="preserve">farmer</t>
  </si>
  <si>
    <t xml:space="preserve">fear</t>
  </si>
  <si>
    <t xml:space="preserve">fold</t>
  </si>
  <si>
    <t xml:space="preserve">forth</t>
  </si>
  <si>
    <t xml:space="preserve">friendly</t>
  </si>
  <si>
    <t xml:space="preserve">fuel</t>
  </si>
  <si>
    <t xml:space="preserve">funny</t>
  </si>
  <si>
    <t xml:space="preserve">gate</t>
  </si>
  <si>
    <t xml:space="preserve">girl</t>
  </si>
  <si>
    <t xml:space="preserve">glove</t>
  </si>
  <si>
    <t xml:space="preserve">grab</t>
  </si>
  <si>
    <t xml:space="preserve">gross</t>
  </si>
  <si>
    <t xml:space="preserve">hall</t>
  </si>
  <si>
    <t xml:space="preserve">herself</t>
  </si>
  <si>
    <t xml:space="preserve">hide</t>
  </si>
  <si>
    <t xml:space="preserve">historian</t>
  </si>
  <si>
    <t xml:space="preserve">hospital</t>
  </si>
  <si>
    <t xml:space="preserve">ill</t>
  </si>
  <si>
    <t xml:space="preserve">injury</t>
  </si>
  <si>
    <t xml:space="preserve">instruction</t>
  </si>
  <si>
    <t xml:space="preserve">investigate</t>
  </si>
  <si>
    <t xml:space="preserve">jacket</t>
  </si>
  <si>
    <t xml:space="preserve">lucky</t>
  </si>
  <si>
    <t xml:space="preserve">lunch</t>
  </si>
  <si>
    <t xml:space="preserve">maintenance</t>
  </si>
  <si>
    <t xml:space="preserve">manufacturer</t>
  </si>
  <si>
    <t xml:space="preserve">meal</t>
  </si>
  <si>
    <t xml:space="preserve">miss</t>
  </si>
  <si>
    <t xml:space="preserve">monitor</t>
  </si>
  <si>
    <t xml:space="preserve">mortgage</t>
  </si>
  <si>
    <t xml:space="preserve">negotiate</t>
  </si>
  <si>
    <t xml:space="preserve">nurse</t>
  </si>
  <si>
    <t xml:space="preserve">pace</t>
  </si>
  <si>
    <t xml:space="preserve">panic</t>
  </si>
  <si>
    <t xml:space="preserve">peak</t>
  </si>
  <si>
    <t xml:space="preserve">perception</t>
  </si>
  <si>
    <t xml:space="preserve">permit</t>
  </si>
  <si>
    <t xml:space="preserve">pie</t>
  </si>
  <si>
    <t xml:space="preserve">plane</t>
  </si>
  <si>
    <t xml:space="preserve">poem</t>
  </si>
  <si>
    <t xml:space="preserve">presence</t>
  </si>
  <si>
    <t xml:space="preserve">proposal</t>
  </si>
  <si>
    <t xml:space="preserve">provided</t>
  </si>
  <si>
    <t xml:space="preserve">qualify</t>
  </si>
  <si>
    <t xml:space="preserve">quote</t>
  </si>
  <si>
    <t xml:space="preserve">realistic</t>
  </si>
  <si>
    <t xml:space="preserve">reception</t>
  </si>
  <si>
    <t xml:space="preserve">recover</t>
  </si>
  <si>
    <t xml:space="preserve">replacement</t>
  </si>
  <si>
    <t xml:space="preserve">resolve</t>
  </si>
  <si>
    <t xml:space="preserve">retire</t>
  </si>
  <si>
    <t xml:space="preserve">revolution</t>
  </si>
  <si>
    <t xml:space="preserve">reward</t>
  </si>
  <si>
    <t xml:space="preserve">rid</t>
  </si>
  <si>
    <t xml:space="preserve">river</t>
  </si>
  <si>
    <t xml:space="preserve">roll</t>
  </si>
  <si>
    <t xml:space="preserve">row</t>
  </si>
  <si>
    <t xml:space="preserve">sandwich</t>
  </si>
  <si>
    <t xml:space="preserve">shock</t>
  </si>
  <si>
    <t xml:space="preserve">sink</t>
  </si>
  <si>
    <t xml:space="preserve">slip</t>
  </si>
  <si>
    <t xml:space="preserve">son</t>
  </si>
  <si>
    <t xml:space="preserve">sorry</t>
  </si>
  <si>
    <t xml:space="preserve">spare</t>
  </si>
  <si>
    <t xml:space="preserve">speech</t>
  </si>
  <si>
    <t xml:space="preserve">spite</t>
  </si>
  <si>
    <t xml:space="preserve">spray</t>
  </si>
  <si>
    <t xml:space="preserve">surprise</t>
  </si>
  <si>
    <t xml:space="preserve">suspect</t>
  </si>
  <si>
    <t xml:space="preserve">sweet</t>
  </si>
  <si>
    <t xml:space="preserve">swing</t>
  </si>
  <si>
    <t xml:space="preserve">tea</t>
  </si>
  <si>
    <t xml:space="preserve">till</t>
  </si>
  <si>
    <t xml:space="preserve">transition</t>
  </si>
  <si>
    <t xml:space="preserve">twist</t>
  </si>
  <si>
    <t xml:space="preserve">ugly</t>
  </si>
  <si>
    <t xml:space="preserve">unlikely</t>
  </si>
  <si>
    <t xml:space="preserve">upstairs</t>
  </si>
  <si>
    <t xml:space="preserve">usual</t>
  </si>
  <si>
    <t xml:space="preserve">village</t>
  </si>
  <si>
    <t xml:space="preserve">warning</t>
  </si>
  <si>
    <t xml:space="preserve">weekend</t>
  </si>
  <si>
    <t xml:space="preserve">weigh</t>
  </si>
  <si>
    <t xml:space="preserve">welcome</t>
  </si>
  <si>
    <t xml:space="preserve">(noun,interjection,verb,adjective)</t>
  </si>
  <si>
    <t xml:space="preserve">winner</t>
  </si>
  <si>
    <t xml:space="preserve">worker</t>
  </si>
  <si>
    <t xml:space="preserve">writer</t>
  </si>
  <si>
    <t xml:space="preserve">yard</t>
  </si>
  <si>
    <t xml:space="preserve">abroad</t>
  </si>
  <si>
    <t xml:space="preserve">alarm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</si>
  <si>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</si>
  <si>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</si>
  <si>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</si>
  <si>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</si>
  <si>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</si>
  <si>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bend</t>
  </si>
  <si>
    <t xml:space="preserve">bicycle</t>
  </si>
  <si>
    <t xml:space="preserve">bite</t>
  </si>
  <si>
    <t xml:space="preserve">blind</t>
  </si>
  <si>
    <t xml:space="preserve">bottle</t>
  </si>
  <si>
    <t xml:space="preserve">brave</t>
  </si>
  <si>
    <t xml:space="preserve">breath</t>
  </si>
  <si>
    <t xml:space="preserve">briefly</t>
  </si>
  <si>
    <t xml:space="preserve">buyer</t>
  </si>
  <si>
    <t xml:space="preserve">cable</t>
  </si>
  <si>
    <t xml:space="preserve">calm</t>
  </si>
  <si>
    <t xml:space="preserve">candle</t>
  </si>
  <si>
    <t xml:space="preserve">celebrate</t>
  </si>
  <si>
    <t xml:space="preserve">chest</t>
  </si>
  <si>
    <t xml:space="preserve">chocolate</t>
  </si>
  <si>
    <t xml:space="preserve">clerk</t>
  </si>
  <si>
    <t xml:space="preserve">cloud</t>
  </si>
  <si>
    <t xml:space="preserve">comprehensive</t>
  </si>
  <si>
    <t xml:space="preserve">concentrate</t>
  </si>
  <si>
    <t xml:space="preserve">concert</t>
  </si>
  <si>
    <t xml:space="preserve">conclusion</t>
  </si>
  <si>
    <t xml:space="preserve">contribution</t>
  </si>
  <si>
    <t xml:space="preserve">convince</t>
  </si>
  <si>
    <t xml:space="preserve">cookie</t>
  </si>
  <si>
    <t xml:space="preserve">counter</t>
  </si>
  <si>
    <t xml:space="preserve">(noun,verb,adverb,adjective)</t>
  </si>
  <si>
    <t xml:space="preserve">courage</t>
  </si>
  <si>
    <t xml:space="preserve">curious</t>
  </si>
  <si>
    <t xml:space="preserve">dad</t>
  </si>
  <si>
    <t xml:space="preserve">desk</t>
  </si>
  <si>
    <t xml:space="preserve">dirty</t>
  </si>
  <si>
    <t xml:space="preserve">disagree</t>
  </si>
  <si>
    <t xml:space="preserve">downtown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</si>
  <si>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</si>
  <si>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</si>
  <si>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</si>
  <si>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</si>
  <si>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</si>
  <si>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flower</t>
  </si>
  <si>
    <t xml:space="preserve">garbage</t>
  </si>
  <si>
    <t xml:space="preserve">grand</t>
  </si>
  <si>
    <t xml:space="preserve">grandfather</t>
  </si>
  <si>
    <t xml:space="preserve">grocery</t>
  </si>
  <si>
    <t xml:space="preserve">harm</t>
  </si>
  <si>
    <t xml:space="preserve">honest</t>
  </si>
  <si>
    <t xml:space="preserve">honey</t>
  </si>
  <si>
    <t xml:space="preserve">ignore</t>
  </si>
  <si>
    <t xml:space="preserve">imply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</si>
  <si>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</si>
  <si>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</si>
  <si>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</si>
  <si>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</si>
  <si>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</si>
  <si>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inner</t>
  </si>
  <si>
    <t xml:space="preserve">insect</t>
  </si>
  <si>
    <t xml:space="preserve">insist</t>
  </si>
  <si>
    <t xml:space="preserve">inspection</t>
  </si>
  <si>
    <t xml:space="preserve">inspector</t>
  </si>
  <si>
    <t xml:space="preserve">king</t>
  </si>
  <si>
    <t xml:space="preserve">knee</t>
  </si>
  <si>
    <t xml:space="preserve">ladder</t>
  </si>
  <si>
    <t xml:space="preserve">lawyer</t>
  </si>
  <si>
    <t xml:space="preserve">leather</t>
  </si>
  <si>
    <t xml:space="preserve">load</t>
  </si>
  <si>
    <t xml:space="preserve">loose</t>
  </si>
  <si>
    <t xml:space="preserve">male</t>
  </si>
  <si>
    <t xml:space="preserve">menu</t>
  </si>
  <si>
    <t xml:space="preserve">mine</t>
  </si>
  <si>
    <t xml:space="preserve">(pronoun,noun,verb)</t>
  </si>
  <si>
    <t xml:space="preserve">mirror</t>
  </si>
  <si>
    <t xml:space="preserve">moreover</t>
  </si>
  <si>
    <t xml:space="preserve">neck</t>
  </si>
  <si>
    <t xml:space="preserve">penalty</t>
  </si>
  <si>
    <t xml:space="preserve">pension</t>
  </si>
  <si>
    <t xml:space="preserve">piano</t>
  </si>
  <si>
    <t xml:space="preserve">plate</t>
  </si>
  <si>
    <t xml:space="preserve">pleasant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</si>
  <si>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</si>
  <si>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</si>
  <si>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</si>
  <si>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</si>
  <si>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</si>
  <si>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</si>
  <si>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purple</t>
  </si>
  <si>
    <t xml:space="preserve">pursue</t>
  </si>
  <si>
    <t xml:space="preserve">quantity</t>
  </si>
  <si>
    <t xml:space="preserve">quiet</t>
  </si>
  <si>
    <t xml:space="preserve">reaction</t>
  </si>
  <si>
    <t xml:space="preserve">refuse</t>
  </si>
  <si>
    <t xml:space="preserve">regret</t>
  </si>
  <si>
    <t xml:space="preserve">remaining</t>
  </si>
  <si>
    <t xml:space="preserve">requirement</t>
  </si>
  <si>
    <t xml:space="preserve">reveal</t>
  </si>
  <si>
    <t xml:space="preserve">ruin</t>
  </si>
  <si>
    <t xml:space="preserve">rush</t>
  </si>
  <si>
    <t xml:space="preserve">salad</t>
  </si>
  <si>
    <t xml:space="preserve">sexual</t>
  </si>
  <si>
    <t xml:space="preserve">shake</t>
  </si>
  <si>
    <t xml:space="preserve">shift</t>
  </si>
  <si>
    <t xml:space="preserve">shine</t>
  </si>
  <si>
    <t xml:space="preserve">ship</t>
  </si>
  <si>
    <t xml:space="preserve">sister</t>
  </si>
  <si>
    <t xml:space="preserve">skirt</t>
  </si>
  <si>
    <t xml:space="preserve">slice</t>
  </si>
  <si>
    <t xml:space="preserve">snow</t>
  </si>
  <si>
    <t xml:space="preserve">specialist</t>
  </si>
  <si>
    <t xml:space="preserve">specify</t>
  </si>
  <si>
    <t xml:space="preserve">steal</t>
  </si>
  <si>
    <t xml:space="preserve">stroke</t>
  </si>
  <si>
    <t xml:space="preserve">strongly</t>
  </si>
  <si>
    <t xml:space="preserve">suck</t>
  </si>
  <si>
    <t xml:space="preserve">sudden</t>
  </si>
  <si>
    <t xml:space="preserve">supermarket</t>
  </si>
  <si>
    <t xml:space="preserve">surround</t>
  </si>
  <si>
    <t xml:space="preserve">switch</t>
  </si>
  <si>
    <t xml:space="preserve">terrible</t>
  </si>
  <si>
    <t xml:space="preserve">tired</t>
  </si>
  <si>
    <t xml:space="preserve">tongue</t>
  </si>
  <si>
    <t xml:space="preserve">trash</t>
  </si>
  <si>
    <t xml:space="preserve">tune</t>
  </si>
  <si>
    <t xml:space="preserve">unable</t>
  </si>
  <si>
    <t xml:space="preserve">warn</t>
  </si>
  <si>
    <t xml:space="preserve">weak</t>
  </si>
  <si>
    <t xml:space="preserve">weakness</t>
  </si>
  <si>
    <t xml:space="preserve">wedding</t>
  </si>
  <si>
    <t xml:space="preserve">wooden</t>
  </si>
  <si>
    <t xml:space="preserve">worried</t>
  </si>
  <si>
    <t xml:space="preserve">yeah</t>
  </si>
  <si>
    <t xml:space="preserve">zone</t>
  </si>
  <si>
    <t xml:space="preserve">accuse</t>
  </si>
  <si>
    <t xml:space="preserve">admire</t>
  </si>
  <si>
    <t xml:space="preserve">admit</t>
  </si>
  <si>
    <t xml:space="preserve">adopt</t>
  </si>
  <si>
    <t xml:space="preserve">affair</t>
  </si>
  <si>
    <t xml:space="preserve">ambition</t>
  </si>
  <si>
    <t xml:space="preserve">analyst</t>
  </si>
  <si>
    <t xml:space="preserve">anger</t>
  </si>
  <si>
    <t xml:space="preserve">announce</t>
  </si>
  <si>
    <t xml:space="preserve">anybody</t>
  </si>
  <si>
    <t xml:space="preserve">apologize</t>
  </si>
  <si>
    <t xml:space="preserve">apple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</si>
  <si>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</si>
  <si>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</si>
  <si>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</si>
  <si>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</si>
  <si>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</si>
  <si>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award</t>
  </si>
  <si>
    <t xml:space="preserve">bathroom</t>
  </si>
  <si>
    <t xml:space="preserve">bear</t>
  </si>
  <si>
    <t xml:space="preserve">bedroom</t>
  </si>
  <si>
    <t xml:space="preserve">beer</t>
  </si>
  <si>
    <t xml:space="preserve">belong</t>
  </si>
  <si>
    <t xml:space="preserve">bid</t>
  </si>
  <si>
    <t xml:space="preserve">birthday</t>
  </si>
  <si>
    <t xml:space="preserve">bitter</t>
  </si>
  <si>
    <t xml:space="preserve">boot</t>
  </si>
  <si>
    <t xml:space="preserve">brilliant</t>
  </si>
  <si>
    <t xml:space="preserve">bug</t>
  </si>
  <si>
    <t xml:space="preserve">camp</t>
  </si>
  <si>
    <t xml:space="preserve">candy</t>
  </si>
  <si>
    <t xml:space="preserve">carpet</t>
  </si>
  <si>
    <t xml:space="preserve">cat</t>
  </si>
  <si>
    <t xml:space="preserve">celebration</t>
  </si>
  <si>
    <t xml:space="preserve">champion</t>
  </si>
  <si>
    <t xml:space="preserve">championship</t>
  </si>
  <si>
    <t xml:space="preserve">channel</t>
  </si>
  <si>
    <t xml:space="preserve">cheek</t>
  </si>
  <si>
    <t xml:space="preserve">client</t>
  </si>
  <si>
    <t xml:space="preserve">clock</t>
  </si>
  <si>
    <t xml:space="preserve">comfort</t>
  </si>
  <si>
    <t xml:space="preserve">commit</t>
  </si>
  <si>
    <t xml:space="preserve">confident</t>
  </si>
  <si>
    <t xml:space="preserve">conscious</t>
  </si>
  <si>
    <t xml:space="preserve">consequence</t>
  </si>
  <si>
    <t xml:space="preserve">cow</t>
  </si>
  <si>
    <t xml:space="preserve">crack</t>
  </si>
  <si>
    <t xml:space="preserve">criticize</t>
  </si>
  <si>
    <t xml:space="preserve">dare</t>
  </si>
  <si>
    <t xml:space="preserve">dear</t>
  </si>
  <si>
    <t xml:space="preserve">decent</t>
  </si>
  <si>
    <t xml:space="preserve">delay</t>
  </si>
  <si>
    <t xml:space="preserve">departure</t>
  </si>
  <si>
    <t xml:space="preserve">deserve</t>
  </si>
  <si>
    <t xml:space="preserve">destroy</t>
  </si>
  <si>
    <t xml:space="preserve">diamond</t>
  </si>
  <si>
    <t xml:space="preserve">dirt</t>
  </si>
  <si>
    <t xml:space="preserve">disappointed</t>
  </si>
  <si>
    <t xml:space="preserve">drunk</t>
  </si>
  <si>
    <t xml:space="preserve">ear</t>
  </si>
  <si>
    <t xml:space="preserve">embarrassed</t>
  </si>
  <si>
    <t xml:space="preserve">empty</t>
  </si>
  <si>
    <t xml:space="preserve">engineer</t>
  </si>
  <si>
    <t xml:space="preserve">entrance</t>
  </si>
  <si>
    <t xml:space="preserve">fault</t>
  </si>
  <si>
    <t xml:space="preserve">female</t>
  </si>
  <si>
    <t xml:space="preserve">fortune</t>
  </si>
  <si>
    <t xml:space="preserve">friendship</t>
  </si>
  <si>
    <t xml:space="preserve">funeral</t>
  </si>
  <si>
    <t xml:space="preserve">gene</t>
  </si>
  <si>
    <t xml:space="preserve">girlfriend</t>
  </si>
  <si>
    <t xml:space="preserve">grass</t>
  </si>
  <si>
    <t xml:space="preserve">guilty</t>
  </si>
  <si>
    <t xml:space="preserve">guy</t>
  </si>
  <si>
    <t xml:space="preserve">hat</t>
  </si>
  <si>
    <t xml:space="preserve">hell</t>
  </si>
  <si>
    <t xml:space="preserve">hesitate</t>
  </si>
  <si>
    <t xml:space="preserve">highlight</t>
  </si>
  <si>
    <t xml:space="preserve">honestly</t>
  </si>
  <si>
    <t xml:space="preserve">hurry</t>
  </si>
  <si>
    <t xml:space="preserve">illustrate</t>
  </si>
  <si>
    <t xml:space="preserve">incident</t>
  </si>
  <si>
    <t xml:space="preserve">indication</t>
  </si>
  <si>
    <t xml:space="preserve">inevitable</t>
  </si>
  <si>
    <t xml:space="preserve">inform</t>
  </si>
  <si>
    <t xml:space="preserve">intention</t>
  </si>
  <si>
    <t xml:space="preserve">invite</t>
  </si>
  <si>
    <t xml:space="preserve">island</t>
  </si>
  <si>
    <t xml:space="preserve">joke</t>
  </si>
  <si>
    <t xml:space="preserve">jury</t>
  </si>
  <si>
    <t xml:space="preserve">kiss</t>
  </si>
  <si>
    <t xml:space="preserve">lady</t>
  </si>
  <si>
    <t xml:space="preserve">leg</t>
  </si>
  <si>
    <t xml:space="preserve">lip</t>
  </si>
  <si>
    <t xml:space="preserve">lonely</t>
  </si>
  <si>
    <t xml:space="preserve">mad</t>
  </si>
  <si>
    <t xml:space="preserve">manufacturing</t>
  </si>
  <si>
    <t xml:space="preserve">marry</t>
  </si>
  <si>
    <t xml:space="preserve">(verb,interjection)</t>
  </si>
  <si>
    <t xml:space="preserve">mate</t>
  </si>
  <si>
    <t xml:space="preserve">midnight</t>
  </si>
  <si>
    <t xml:space="preserve">motor</t>
  </si>
  <si>
    <t xml:space="preserve">neat</t>
  </si>
  <si>
    <t xml:space="preserve">negotiation</t>
  </si>
  <si>
    <t xml:space="preserve">nerve</t>
  </si>
  <si>
    <t xml:space="preserve">nervous</t>
  </si>
  <si>
    <t xml:space="preserve">nowhere</t>
  </si>
  <si>
    <t xml:space="preserve">(adverb,pronoun,adjective)</t>
  </si>
  <si>
    <t xml:space="preserve">obligation</t>
  </si>
  <si>
    <t xml:space="preserve">odd</t>
  </si>
  <si>
    <t xml:space="preserve">ok</t>
  </si>
  <si>
    <t xml:space="preserve">passage</t>
  </si>
  <si>
    <t xml:space="preserve">passenger</t>
  </si>
  <si>
    <t xml:space="preserve">pen</t>
  </si>
  <si>
    <t xml:space="preserve">persuade</t>
  </si>
  <si>
    <t xml:space="preserve">pizza</t>
  </si>
  <si>
    <t xml:space="preserve">platform</t>
  </si>
  <si>
    <t xml:space="preserve">poet</t>
  </si>
  <si>
    <t xml:space="preserve">pollution</t>
  </si>
  <si>
    <t xml:space="preserve">pop</t>
  </si>
  <si>
    <t xml:space="preserve">(verb,noun,adverb,adjective)</t>
  </si>
  <si>
    <t xml:space="preserve">pour</t>
  </si>
  <si>
    <t xml:space="preserve">pray</t>
  </si>
  <si>
    <t xml:space="preserve">(verb,adverb)</t>
  </si>
  <si>
    <t xml:space="preserve">pretend</t>
  </si>
  <si>
    <t xml:space="preserve">previously</t>
  </si>
  <si>
    <t xml:space="preserve">pride</t>
  </si>
  <si>
    <t xml:space="preserve">priest</t>
  </si>
  <si>
    <t xml:space="preserve">prize</t>
  </si>
  <si>
    <t xml:space="preserve">promise</t>
  </si>
  <si>
    <t xml:space="preserve">propose</t>
  </si>
  <si>
    <t xml:space="preserve">punch</t>
  </si>
  <si>
    <t xml:space="preserve">quit</t>
  </si>
  <si>
    <t xml:space="preserve">recognition</t>
  </si>
  <si>
    <t xml:space="preserve">remarkable</t>
  </si>
  <si>
    <t xml:space="preserve">remind</t>
  </si>
  <si>
    <t xml:space="preserve">reply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</si>
  <si>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</si>
  <si>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</si>
  <si>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</si>
  <si>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</si>
  <si>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</si>
  <si>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ring</t>
  </si>
  <si>
    <t xml:space="preserve">rip</t>
  </si>
  <si>
    <t xml:space="preserve">roof</t>
  </si>
  <si>
    <t xml:space="preserve">rope</t>
  </si>
  <si>
    <t xml:space="preserve">rub</t>
  </si>
  <si>
    <t xml:space="preserve">sail</t>
  </si>
  <si>
    <t xml:space="preserve">scheme</t>
  </si>
  <si>
    <t xml:space="preserve">script</t>
  </si>
  <si>
    <t xml:space="preserve">shall</t>
  </si>
  <si>
    <t xml:space="preserve">shirt</t>
  </si>
  <si>
    <t xml:space="preserve">silly</t>
  </si>
  <si>
    <t xml:space="preserve">sir</t>
  </si>
  <si>
    <t xml:space="preserve">slight</t>
  </si>
  <si>
    <t xml:space="preserve">smart</t>
  </si>
  <si>
    <t xml:space="preserve">smile</t>
  </si>
  <si>
    <t xml:space="preserve">sock</t>
  </si>
  <si>
    <t xml:space="preserve">speaker</t>
  </si>
  <si>
    <t xml:space="preserve">spell</t>
  </si>
  <si>
    <t xml:space="preserve">station</t>
  </si>
  <si>
    <t xml:space="preserve">stranger</t>
  </si>
  <si>
    <t xml:space="preserve">stretch</t>
  </si>
  <si>
    <t xml:space="preserve">stupid</t>
  </si>
  <si>
    <t xml:space="preserve">submit</t>
  </si>
  <si>
    <t xml:space="preserve">substantial</t>
  </si>
  <si>
    <t xml:space="preserve">suppose</t>
  </si>
  <si>
    <t xml:space="preserve">surgery</t>
  </si>
  <si>
    <t xml:space="preserve">suspicious</t>
  </si>
  <si>
    <t xml:space="preserve">sympathy</t>
  </si>
  <si>
    <t xml:space="preserve">tale</t>
  </si>
  <si>
    <t xml:space="preserve">tall</t>
  </si>
  <si>
    <t xml:space="preserve">tear</t>
  </si>
  <si>
    <t xml:space="preserve">temporary</t>
  </si>
  <si>
    <t xml:space="preserve">throat</t>
  </si>
  <si>
    <t xml:space="preserve">tiny</t>
  </si>
  <si>
    <t xml:space="preserve">toe</t>
  </si>
  <si>
    <t xml:space="preserve">tomorrow</t>
  </si>
  <si>
    <t xml:space="preserve">tower</t>
  </si>
  <si>
    <t xml:space="preserve">trainer</t>
  </si>
  <si>
    <t xml:space="preserve">translate</t>
  </si>
  <si>
    <t xml:space="preserve">truck</t>
  </si>
  <si>
    <t xml:space="preserve">uncle</t>
  </si>
  <si>
    <t xml:space="preserve">wake</t>
  </si>
  <si>
    <t xml:space="preserve">weekly</t>
  </si>
  <si>
    <t xml:space="preserve">whoever</t>
  </si>
  <si>
    <t xml:space="preserve">witness</t>
  </si>
  <si>
    <t xml:space="preserve">wrap</t>
  </si>
  <si>
    <t xml:space="preserve">yesterday</t>
  </si>
  <si>
    <t xml:space="preserve">youth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</si>
</sst>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990000"/>
      <name val="Calibri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FF4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0" width="15.58"/>
    <col collapsed="false" customWidth="true" hidden="false" outlineLevel="0" max="2" min="2" style="0" width="16.21"/>
    <col collapsed="false" customWidth="true" hidden="false" outlineLevel="0" max="4" min="3" style="0" width="8.74"/>
    <col collapsed="false" customWidth="true" hidden="false" outlineLevel="0" max="5" min="5" style="0" width="43.07"/>
    <col collapsed="false" customWidth="true" hidden="false" outlineLevel="0" max="6" min="6" style="0" width="23.06"/>
    <col collapsed="false" customWidth="true" hidden="false" outlineLevel="0" max="8" min="7" style="0" width="23.81"/>
    <col collapsed="false" customWidth="true" hidden="false" outlineLevel="0" max="26" min="9" style="0" width="14.38"/>
  </cols>
  <sheetData>
    <row r="1" customFormat="false" ht="14.25" hidden="false" customHeight="true" outlineLevel="0" collapsed="false">
      <c r="A1" s="1" t="n">
        <v>0</v>
      </c>
      <c r="B1" s="2" t="s">
        <v>0</v>
      </c>
      <c r="C1" s="1" t="n">
        <v>9243</v>
      </c>
      <c r="D1" s="3"/>
      <c r="E1" s="3" t="s">
        <v>1</v>
      </c>
      <c r="F1" s="3" t="str">
        <f aca="false">IFERROR(__xludf.dummyfunction("GOOGLETRANSLATE(B1,""en"",""ar"")"),"ال")</f>
        <v>ال</v>
      </c>
      <c r="G1" s="3" t="n">
        <v>0</v>
      </c>
      <c r="H1" s="3" t="n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B2" s="2" t="s">
        <v>2</v>
      </c>
      <c r="C2" s="1" t="n">
        <v>5220</v>
      </c>
      <c r="D2" s="3"/>
      <c r="E2" s="3" t="s">
        <v>3</v>
      </c>
      <c r="F2" s="3" t="str">
        <f aca="false">IFERROR(__xludf.dummyfunction("GOOGLETRANSLATE(B2,""en"",""ar"")"),"من")</f>
        <v>من</v>
      </c>
      <c r="G2" s="3" t="n">
        <v>0</v>
      </c>
      <c r="H2" s="3" t="n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B3" s="2" t="s">
        <v>4</v>
      </c>
      <c r="C3" s="1" t="n">
        <v>5196</v>
      </c>
      <c r="D3" s="3"/>
      <c r="E3" s="3" t="s">
        <v>5</v>
      </c>
      <c r="F3" s="3" t="str">
        <f aca="false">IFERROR(__xludf.dummyfunction("GOOGLETRANSLATE(B3,""en"",""ar"")"),"و")</f>
        <v>و</v>
      </c>
      <c r="G3" s="3" t="n">
        <v>0</v>
      </c>
      <c r="H3" s="3" t="n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B4" s="2" t="s">
        <v>6</v>
      </c>
      <c r="C4" s="1" t="n">
        <v>4951</v>
      </c>
      <c r="D4" s="3"/>
      <c r="E4" s="3" t="s">
        <v>7</v>
      </c>
      <c r="F4" s="3" t="str">
        <f aca="false">IFERROR(__xludf.dummyfunction("GOOGLETRANSLATE(B4,""en"",""ar"")"),"ل")</f>
        <v>ل</v>
      </c>
      <c r="G4" s="3" t="n">
        <v>0</v>
      </c>
      <c r="H4" s="3" t="n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B5" s="2" t="s">
        <v>8</v>
      </c>
      <c r="C5" s="1" t="n">
        <v>4506</v>
      </c>
      <c r="D5" s="3"/>
      <c r="E5" s="3" t="s">
        <v>9</v>
      </c>
      <c r="F5" s="3" t="str">
        <f aca="false">IFERROR(__xludf.dummyfunction("GOOGLETRANSLATE(B5,""en"",""ar"")"),"أ")</f>
        <v>أ</v>
      </c>
      <c r="G5" s="3" t="n">
        <v>0</v>
      </c>
      <c r="H5" s="3" t="n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B6" s="2" t="s">
        <v>10</v>
      </c>
      <c r="C6" s="1" t="n">
        <v>2822</v>
      </c>
      <c r="D6" s="3"/>
      <c r="E6" s="3" t="s">
        <v>7</v>
      </c>
      <c r="F6" s="3" t="str">
        <f aca="false">IFERROR(__xludf.dummyfunction("GOOGLETRANSLATE(B6,""en"",""ar"")"),"في")</f>
        <v>في</v>
      </c>
      <c r="G6" s="3" t="n">
        <v>0</v>
      </c>
      <c r="H6" s="3" t="n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B7" s="2" t="s">
        <v>11</v>
      </c>
      <c r="C7" s="1" t="n">
        <v>2699</v>
      </c>
      <c r="D7" s="3"/>
      <c r="E7" s="3" t="s">
        <v>12</v>
      </c>
      <c r="F7" s="3" t="str">
        <f aca="false">IFERROR(__xludf.dummyfunction("GOOGLETRANSLATE(B7,""en"",""ar"")"),"هو")</f>
        <v>هو</v>
      </c>
      <c r="G7" s="3" t="n">
        <v>0</v>
      </c>
      <c r="H7" s="3" t="n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B8" s="2" t="s">
        <v>13</v>
      </c>
      <c r="C8" s="1" t="n">
        <v>2041</v>
      </c>
      <c r="D8" s="3"/>
      <c r="E8" s="3" t="s">
        <v>14</v>
      </c>
      <c r="F8" s="3" t="str">
        <f aca="false">IFERROR(__xludf.dummyfunction("GOOGLETRANSLATE(B8,""en"",""ar"")"),"أنت")</f>
        <v>أنت</v>
      </c>
      <c r="G8" s="3" t="n">
        <v>0</v>
      </c>
      <c r="H8" s="3" t="n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B9" s="2" t="s">
        <v>15</v>
      </c>
      <c r="C9" s="1" t="n">
        <v>1843</v>
      </c>
      <c r="D9" s="3"/>
      <c r="E9" s="3" t="s">
        <v>12</v>
      </c>
      <c r="F9" s="3" t="str">
        <f aca="false">IFERROR(__xludf.dummyfunction("GOOGLETRANSLATE(B9,""en"",""ar"")"),"نكون")</f>
        <v>نكون</v>
      </c>
      <c r="G9" s="3" t="n">
        <v>0</v>
      </c>
      <c r="H9" s="3" t="n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B10" s="2" t="s">
        <v>16</v>
      </c>
      <c r="C10" s="1" t="n">
        <v>1752</v>
      </c>
      <c r="D10" s="3"/>
      <c r="E10" s="3" t="s">
        <v>17</v>
      </c>
      <c r="F10" s="3" t="str">
        <f aca="false">IFERROR(__xludf.dummyfunction("GOOGLETRANSLATE(B10,""en"",""ar"")"),"ل")</f>
        <v>ل</v>
      </c>
      <c r="G10" s="3" t="n">
        <v>0</v>
      </c>
      <c r="H10" s="3" t="n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B11" s="2" t="s">
        <v>18</v>
      </c>
      <c r="C11" s="1" t="n">
        <v>1743</v>
      </c>
      <c r="D11" s="3"/>
      <c r="E11" s="3" t="s">
        <v>19</v>
      </c>
      <c r="F11" s="3" t="str">
        <f aca="false">IFERROR(__xludf.dummyfunction("GOOGLETRANSLATE(B11,""en"",""ar"")"),"الذي - التي")</f>
        <v>الذي - التي</v>
      </c>
      <c r="G11" s="3" t="n">
        <v>0</v>
      </c>
      <c r="H11" s="3" t="n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B12" s="2" t="s">
        <v>20</v>
      </c>
      <c r="C12" s="1" t="n">
        <v>1487</v>
      </c>
      <c r="D12" s="3"/>
      <c r="E12" s="3" t="s">
        <v>5</v>
      </c>
      <c r="F12" s="3" t="str">
        <f aca="false">IFERROR(__xludf.dummyfunction("GOOGLETRANSLATE(B12,""en"",""ar"")"),"أو")</f>
        <v>أو</v>
      </c>
      <c r="G12" s="3" t="n">
        <v>0</v>
      </c>
      <c r="H12" s="3" t="n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B13" s="2" t="s">
        <v>21</v>
      </c>
      <c r="C13" s="1" t="n">
        <v>1386</v>
      </c>
      <c r="D13" s="3"/>
      <c r="E13" s="3" t="s">
        <v>14</v>
      </c>
      <c r="F13" s="3" t="str">
        <f aca="false">IFERROR(__xludf.dummyfunction("GOOGLETRANSLATE(B13,""en"",""ar"")"),"هو - هي")</f>
        <v>هو - هي</v>
      </c>
      <c r="G13" s="3" t="n">
        <v>0</v>
      </c>
      <c r="H13" s="3" t="n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B14" s="2" t="s">
        <v>22</v>
      </c>
      <c r="C14" s="1" t="n">
        <v>1363</v>
      </c>
      <c r="D14" s="3"/>
      <c r="E14" s="3" t="s">
        <v>23</v>
      </c>
      <c r="F14" s="4" t="s">
        <v>24</v>
      </c>
      <c r="G14" s="3" t="n">
        <v>0</v>
      </c>
      <c r="H14" s="3" t="n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B15" s="2" t="s">
        <v>25</v>
      </c>
      <c r="C15" s="1" t="n">
        <v>1145</v>
      </c>
      <c r="D15" s="3"/>
      <c r="E15" s="3" t="s">
        <v>26</v>
      </c>
      <c r="F15" s="3" t="str">
        <f aca="false">IFERROR(__xludf.dummyfunction("GOOGLETRANSLATE(B15,""en"",""ar"")"),"يكون")</f>
        <v>يكون</v>
      </c>
      <c r="G15" s="3" t="n">
        <v>0</v>
      </c>
      <c r="H15" s="3" t="n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B16" s="2" t="s">
        <v>27</v>
      </c>
      <c r="C16" s="1" t="n">
        <v>1087</v>
      </c>
      <c r="D16" s="3"/>
      <c r="E16" s="3" t="s">
        <v>28</v>
      </c>
      <c r="F16" s="3" t="str">
        <f aca="false">IFERROR(__xludf.dummyfunction("GOOGLETRANSLATE(B16,""en"",""ar"")"),"على")</f>
        <v>على</v>
      </c>
      <c r="G16" s="3" t="n">
        <v>0</v>
      </c>
      <c r="H16" s="3" t="n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B17" s="2" t="s">
        <v>29</v>
      </c>
      <c r="C17" s="1" t="n">
        <v>1067</v>
      </c>
      <c r="D17" s="3"/>
      <c r="E17" s="3" t="s">
        <v>30</v>
      </c>
      <c r="F17" s="3" t="str">
        <f aca="false">IFERROR(__xludf.dummyfunction("GOOGLETRANSLATE(B17,""en"",""ar"")"),"لك")</f>
        <v>لك</v>
      </c>
      <c r="G17" s="3" t="n">
        <v>0</v>
      </c>
      <c r="H17" s="3" t="n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B18" s="2" t="s">
        <v>31</v>
      </c>
      <c r="C18" s="1" t="n">
        <v>1062</v>
      </c>
      <c r="D18" s="3"/>
      <c r="E18" s="3" t="s">
        <v>32</v>
      </c>
      <c r="F18" s="3" t="str">
        <f aca="false">IFERROR(__xludf.dummyfunction("GOOGLETRANSLATE(B18,""en"",""ar"")"),"مع")</f>
        <v>مع</v>
      </c>
      <c r="G18" s="3" t="n">
        <v>0</v>
      </c>
      <c r="H18" s="3" t="n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B19" s="2" t="s">
        <v>33</v>
      </c>
      <c r="C19" s="1" t="n">
        <v>895</v>
      </c>
      <c r="D19" s="3"/>
      <c r="E19" s="3" t="s">
        <v>34</v>
      </c>
      <c r="F19" s="3" t="str">
        <f aca="false">IFERROR(__xludf.dummyfunction("GOOGLETRANSLATE(B19,""en"",""ar"")"),"تستطيع")</f>
        <v>تستطيع</v>
      </c>
      <c r="G19" s="3" t="n">
        <v>0</v>
      </c>
      <c r="H19" s="3" t="n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B20" s="2" t="s">
        <v>35</v>
      </c>
      <c r="C20" s="1" t="n">
        <v>891</v>
      </c>
      <c r="D20" s="3"/>
      <c r="E20" s="3" t="s">
        <v>26</v>
      </c>
      <c r="F20" s="3" t="str">
        <f aca="false">IFERROR(__xludf.dummyfunction("GOOGLETRANSLATE(B20,""en"",""ar"")"),"لديك")</f>
        <v>لديك</v>
      </c>
      <c r="G20" s="3" t="n">
        <v>0</v>
      </c>
      <c r="H20" s="3" t="n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B21" s="2" t="s">
        <v>36</v>
      </c>
      <c r="C21" s="1" t="n">
        <v>864</v>
      </c>
      <c r="D21" s="3"/>
      <c r="E21" s="3" t="s">
        <v>37</v>
      </c>
      <c r="F21" s="3" t="str">
        <f aca="false">IFERROR(__xludf.dummyfunction("GOOGLETRANSLATE(B21,""en"",""ar"")"),"هذا")</f>
        <v>هذا</v>
      </c>
      <c r="G21" s="3" t="n">
        <v>0</v>
      </c>
      <c r="H21" s="3" t="n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B22" s="2" t="s">
        <v>38</v>
      </c>
      <c r="C22" s="1" t="n">
        <v>754</v>
      </c>
      <c r="D22" s="3"/>
      <c r="E22" s="3" t="s">
        <v>39</v>
      </c>
      <c r="F22" s="3" t="str">
        <f aca="false">IFERROR(__xludf.dummyfunction("GOOGLETRANSLATE(B22,""en"",""ar"")"),"ل")</f>
        <v>ل</v>
      </c>
      <c r="G22" s="3" t="n">
        <v>0</v>
      </c>
      <c r="H22" s="3" t="n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B23" s="2" t="s">
        <v>40</v>
      </c>
      <c r="C23" s="1" t="n">
        <v>706</v>
      </c>
      <c r="D23" s="3"/>
      <c r="E23" s="3" t="s">
        <v>7</v>
      </c>
      <c r="F23" s="3" t="str">
        <f aca="false">IFERROR(__xludf.dummyfunction("GOOGLETRANSLATE(B23,""en"",""ar"")"),"بواسطة")</f>
        <v>بواسطة</v>
      </c>
      <c r="G23" s="3" t="n">
        <v>0</v>
      </c>
      <c r="H23" s="3" t="n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B24" s="2" t="s">
        <v>41</v>
      </c>
      <c r="C24" s="1" t="n">
        <v>658</v>
      </c>
      <c r="D24" s="3"/>
      <c r="E24" s="3" t="s">
        <v>42</v>
      </c>
      <c r="F24" s="3" t="str">
        <f aca="false">IFERROR(__xludf.dummyfunction("GOOGLETRANSLATE(B24,""en"",""ar"")"),"ليس")</f>
        <v>ليس</v>
      </c>
      <c r="G24" s="3" t="n">
        <v>0</v>
      </c>
      <c r="H24" s="3" t="n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B25" s="2" t="s">
        <v>43</v>
      </c>
      <c r="C25" s="1" t="n">
        <v>626</v>
      </c>
      <c r="D25" s="3"/>
      <c r="E25" s="3" t="s">
        <v>44</v>
      </c>
      <c r="F25" s="3" t="str">
        <f aca="false">IFERROR(__xludf.dummyfunction("GOOGLETRANSLATE(B25,""en"",""ar"")"),"لكن")</f>
        <v>لكن</v>
      </c>
      <c r="G25" s="3" t="n">
        <v>0</v>
      </c>
      <c r="H25" s="3" t="n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B26" s="2" t="s">
        <v>45</v>
      </c>
      <c r="C26" s="1" t="n">
        <v>624</v>
      </c>
      <c r="D26" s="3"/>
      <c r="E26" s="3" t="s">
        <v>32</v>
      </c>
      <c r="F26" s="3" t="str">
        <f aca="false">IFERROR(__xludf.dummyfunction("GOOGLETRANSLATE(B26,""en"",""ar"")"),"في")</f>
        <v>في</v>
      </c>
      <c r="G26" s="3" t="n">
        <v>0</v>
      </c>
      <c r="H26" s="3" t="n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B27" s="2" t="s">
        <v>46</v>
      </c>
      <c r="C27" s="1" t="n">
        <v>622</v>
      </c>
      <c r="D27" s="3"/>
      <c r="E27" s="3" t="s">
        <v>32</v>
      </c>
      <c r="F27" s="3" t="str">
        <f aca="false">IFERROR(__xludf.dummyfunction("GOOGLETRANSLATE(B27,""en"",""ar"")"),"من عند")</f>
        <v>من عند</v>
      </c>
      <c r="G27" s="3" t="n">
        <v>0</v>
      </c>
      <c r="H27" s="3" t="n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B28" s="2" t="s">
        <v>47</v>
      </c>
      <c r="C28" s="1" t="n">
        <v>621</v>
      </c>
      <c r="D28" s="3"/>
      <c r="E28" s="3" t="s">
        <v>30</v>
      </c>
      <c r="F28" s="3" t="str">
        <f aca="false">IFERROR(__xludf.dummyfunction("GOOGLETRANSLATE(B28,""en"",""ar"")"),"أنا")</f>
        <v>أنا</v>
      </c>
      <c r="G28" s="3" t="n">
        <v>0</v>
      </c>
      <c r="H28" s="3" t="n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B29" s="2" t="s">
        <v>48</v>
      </c>
      <c r="C29" s="1" t="n">
        <v>617</v>
      </c>
      <c r="D29" s="3"/>
      <c r="E29" s="3" t="s">
        <v>30</v>
      </c>
      <c r="F29" s="3" t="str">
        <f aca="false">IFERROR(__xludf.dummyfunction("GOOGLETRANSLATE(B29,""en"",""ar"")"),"أنهم")</f>
        <v>أنهم</v>
      </c>
      <c r="G29" s="3" t="n">
        <v>0</v>
      </c>
      <c r="H29" s="3" t="n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B30" s="2" t="s">
        <v>49</v>
      </c>
      <c r="C30" s="1" t="n">
        <v>597</v>
      </c>
      <c r="D30" s="3"/>
      <c r="E30" s="3" t="s">
        <v>50</v>
      </c>
      <c r="F30" s="3" t="str">
        <f aca="false">IFERROR(__xludf.dummyfunction("GOOGLETRANSLATE(B30,""en"",""ar"")"),"أكثر")</f>
        <v>أكثر</v>
      </c>
      <c r="G30" s="3" t="n">
        <v>0</v>
      </c>
      <c r="H30" s="3" t="n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1"/>
      <c r="B31" s="2" t="s">
        <v>51</v>
      </c>
      <c r="C31" s="1" t="n">
        <v>577</v>
      </c>
      <c r="D31" s="3"/>
      <c r="E31" s="3" t="s">
        <v>34</v>
      </c>
      <c r="F31" s="3" t="str">
        <f aca="false">IFERROR(__xludf.dummyfunction("GOOGLETRANSLATE(B31,""en"",""ar"")"),"إرادة")</f>
        <v>إرادة</v>
      </c>
      <c r="G31" s="3" t="n">
        <v>0</v>
      </c>
      <c r="H31" s="3" t="n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1"/>
      <c r="B32" s="2" t="s">
        <v>52</v>
      </c>
      <c r="C32" s="1" t="n">
        <v>546</v>
      </c>
      <c r="D32" s="3"/>
      <c r="E32" s="3" t="s">
        <v>53</v>
      </c>
      <c r="F32" s="3" t="str">
        <f aca="false">IFERROR(__xludf.dummyfunction("GOOGLETRANSLATE(B32,""en"",""ar"")"),"إذا")</f>
        <v>إذا</v>
      </c>
      <c r="G32" s="3" t="n">
        <v>0</v>
      </c>
      <c r="H32" s="3" t="n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1"/>
      <c r="B33" s="2" t="s">
        <v>54</v>
      </c>
      <c r="C33" s="1" t="n">
        <v>501</v>
      </c>
      <c r="D33" s="3"/>
      <c r="E33" s="3" t="s">
        <v>55</v>
      </c>
      <c r="F33" s="3" t="str">
        <f aca="false">IFERROR(__xludf.dummyfunction("GOOGLETRANSLATE(B33,""en"",""ar"")"),"بعض")</f>
        <v>بعض</v>
      </c>
      <c r="G33" s="3" t="n">
        <v>0</v>
      </c>
      <c r="H33" s="3" t="n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1"/>
      <c r="B34" s="2" t="s">
        <v>56</v>
      </c>
      <c r="C34" s="1" t="n">
        <v>470</v>
      </c>
      <c r="D34" s="3"/>
      <c r="E34" s="3" t="s">
        <v>57</v>
      </c>
      <c r="F34" s="3" t="str">
        <f aca="false">IFERROR(__xludf.dummyfunction("GOOGLETRANSLATE(B34,""en"",""ar"")"),"هناك")</f>
        <v>هناك</v>
      </c>
      <c r="G34" s="3" t="n">
        <v>0</v>
      </c>
      <c r="H34" s="3" t="n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1"/>
      <c r="B35" s="2" t="s">
        <v>58</v>
      </c>
      <c r="C35" s="1" t="n">
        <v>461</v>
      </c>
      <c r="D35" s="3"/>
      <c r="E35" s="3" t="s">
        <v>59</v>
      </c>
      <c r="F35" s="3" t="str">
        <f aca="false">IFERROR(__xludf.dummyfunction("GOOGLETRANSLATE(B35,""en"",""ar"")"),"ماذا او ما")</f>
        <v>ماذا او ما</v>
      </c>
      <c r="G35" s="3" t="n">
        <v>0</v>
      </c>
      <c r="H35" s="3" t="n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1"/>
      <c r="B36" s="2" t="s">
        <v>60</v>
      </c>
      <c r="C36" s="1" t="n">
        <v>451</v>
      </c>
      <c r="D36" s="3"/>
      <c r="E36" s="3" t="s">
        <v>28</v>
      </c>
      <c r="F36" s="3" t="str">
        <f aca="false">IFERROR(__xludf.dummyfunction("GOOGLETRANSLATE(B36,""en"",""ar"")"),"حول")</f>
        <v>حول</v>
      </c>
      <c r="G36" s="3" t="n">
        <v>0</v>
      </c>
      <c r="H36" s="3" t="n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1"/>
      <c r="B37" s="5" t="s">
        <v>61</v>
      </c>
      <c r="C37" s="1" t="n">
        <v>449</v>
      </c>
      <c r="D37" s="3"/>
      <c r="E37" s="3" t="s">
        <v>62</v>
      </c>
      <c r="F37" s="3" t="str">
        <f aca="false">IFERROR(__xludf.dummyfunction("GOOGLETRANSLATE(B37,""en"",""ar"")"),"الذي")</f>
        <v>الذي</v>
      </c>
      <c r="G37" s="3" t="n">
        <v>0</v>
      </c>
      <c r="H37" s="3" t="n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1"/>
      <c r="B38" s="2" t="s">
        <v>63</v>
      </c>
      <c r="C38" s="1" t="n">
        <v>442</v>
      </c>
      <c r="D38" s="3"/>
      <c r="E38" s="3" t="s">
        <v>64</v>
      </c>
      <c r="F38" s="3" t="str">
        <f aca="false">IFERROR(__xludf.dummyfunction("GOOGLETRANSLATE(B38,""en"",""ar"")"),"متي")</f>
        <v>متي</v>
      </c>
      <c r="G38" s="3" t="n">
        <v>0</v>
      </c>
      <c r="H38" s="3" t="n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1"/>
      <c r="B39" s="2" t="s">
        <v>65</v>
      </c>
      <c r="C39" s="1" t="n">
        <v>441</v>
      </c>
      <c r="D39" s="3"/>
      <c r="E39" s="3" t="s">
        <v>66</v>
      </c>
      <c r="F39" s="3" t="str">
        <f aca="false">IFERROR(__xludf.dummyfunction("GOOGLETRANSLATE(B39,""en"",""ar"")"),"واحد")</f>
        <v>واحد</v>
      </c>
      <c r="G39" s="3" t="n">
        <v>0</v>
      </c>
      <c r="H39" s="3" t="n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1"/>
      <c r="B40" s="2" t="s">
        <v>67</v>
      </c>
      <c r="C40" s="1" t="n">
        <v>439</v>
      </c>
      <c r="D40" s="3"/>
      <c r="E40" s="3" t="s">
        <v>30</v>
      </c>
      <c r="F40" s="3" t="str">
        <f aca="false">IFERROR(__xludf.dummyfunction("GOOGLETRANSLATE(B40,""en"",""ar"")"),"هم")</f>
        <v>هم</v>
      </c>
      <c r="G40" s="3" t="n">
        <v>0</v>
      </c>
      <c r="H40" s="3" t="n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"/>
      <c r="B41" s="2" t="s">
        <v>68</v>
      </c>
      <c r="C41" s="1" t="n">
        <v>438</v>
      </c>
      <c r="D41" s="3"/>
      <c r="E41" s="3" t="s">
        <v>69</v>
      </c>
      <c r="F41" s="3" t="str">
        <f aca="false">IFERROR(__xludf.dummyfunction("GOOGLETRANSLATE(B41,""en"",""ar"")"),"الكل")</f>
        <v>الكل</v>
      </c>
      <c r="G41" s="3" t="n">
        <v>0</v>
      </c>
      <c r="H41" s="3" t="n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"/>
      <c r="B42" s="2" t="s">
        <v>70</v>
      </c>
      <c r="C42" s="1" t="n">
        <v>419</v>
      </c>
      <c r="D42" s="3"/>
      <c r="E42" s="3" t="s">
        <v>42</v>
      </c>
      <c r="F42" s="3" t="str">
        <f aca="false">IFERROR(__xludf.dummyfunction("GOOGLETRANSLATE(B42,""en"",""ar"")"),"أيضا")</f>
        <v>أيضا</v>
      </c>
      <c r="G42" s="3" t="n">
        <v>0</v>
      </c>
      <c r="H42" s="3" t="n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"/>
      <c r="B43" s="2" t="s">
        <v>71</v>
      </c>
      <c r="C43" s="1" t="n">
        <v>412</v>
      </c>
      <c r="D43" s="3"/>
      <c r="E43" s="3" t="s">
        <v>64</v>
      </c>
      <c r="F43" s="3" t="str">
        <f aca="false">IFERROR(__xludf.dummyfunction("GOOGLETRANSLATE(B43,""en"",""ar"")"),"كيف")</f>
        <v>كيف</v>
      </c>
      <c r="G43" s="3" t="n">
        <v>0</v>
      </c>
      <c r="H43" s="3" t="n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"/>
      <c r="B44" s="2" t="s">
        <v>72</v>
      </c>
      <c r="C44" s="1" t="n">
        <v>397</v>
      </c>
      <c r="D44" s="3"/>
      <c r="E44" s="3" t="s">
        <v>66</v>
      </c>
      <c r="F44" s="3" t="str">
        <f aca="false">IFERROR(__xludf.dummyfunction("GOOGLETRANSLATE(B44,""en"",""ar"")"),"عديدة")</f>
        <v>عديدة</v>
      </c>
      <c r="G44" s="3" t="n">
        <v>0</v>
      </c>
      <c r="H44" s="3" t="n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1"/>
      <c r="B45" s="2" t="s">
        <v>73</v>
      </c>
      <c r="C45" s="1" t="n">
        <v>389</v>
      </c>
      <c r="D45" s="3"/>
      <c r="E45" s="3" t="s">
        <v>74</v>
      </c>
      <c r="F45" s="3" t="str">
        <f aca="false">IFERROR(__xludf.dummyfunction("GOOGLETRANSLATE(B45,""en"",""ar"")"),"فعل")</f>
        <v>فعل</v>
      </c>
      <c r="G45" s="3" t="n">
        <v>0</v>
      </c>
      <c r="H45" s="3" t="n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1"/>
      <c r="B46" s="2" t="s">
        <v>75</v>
      </c>
      <c r="C46" s="1" t="n">
        <v>384</v>
      </c>
      <c r="D46" s="3"/>
      <c r="E46" s="3" t="s">
        <v>12</v>
      </c>
      <c r="F46" s="3" t="str">
        <f aca="false">IFERROR(__xludf.dummyfunction("GOOGLETRANSLATE(B46,""en"",""ar"")"),"لديها")</f>
        <v>لديها</v>
      </c>
      <c r="G46" s="3" t="n">
        <v>0</v>
      </c>
      <c r="H46" s="3" t="n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1"/>
      <c r="B47" s="2" t="s">
        <v>76</v>
      </c>
      <c r="C47" s="1" t="n">
        <v>378</v>
      </c>
      <c r="D47" s="3"/>
      <c r="E47" s="3" t="s">
        <v>77</v>
      </c>
      <c r="F47" s="3" t="str">
        <f aca="false">IFERROR(__xludf.dummyfunction("GOOGLETRANSLATE(B47,""en"",""ar"")"),"عظم")</f>
        <v>عظم</v>
      </c>
      <c r="G47" s="3" t="n">
        <v>0</v>
      </c>
      <c r="H47" s="3" t="n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1"/>
      <c r="B48" s="2" t="s">
        <v>78</v>
      </c>
      <c r="C48" s="1" t="n">
        <v>372</v>
      </c>
      <c r="D48" s="3"/>
      <c r="E48" s="3" t="s">
        <v>79</v>
      </c>
      <c r="F48" s="3" t="str">
        <f aca="false">IFERROR(__xludf.dummyfunction("GOOGLETRANSLATE(B48,""en"",""ar"")"),"اشخاص")</f>
        <v>اشخاص</v>
      </c>
      <c r="G48" s="3" t="n">
        <v>0</v>
      </c>
      <c r="H48" s="3" t="n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1"/>
      <c r="B49" s="2" t="s">
        <v>80</v>
      </c>
      <c r="C49" s="1" t="n">
        <v>369</v>
      </c>
      <c r="D49" s="3"/>
      <c r="E49" s="3" t="s">
        <v>81</v>
      </c>
      <c r="F49" s="3" t="str">
        <f aca="false">IFERROR(__xludf.dummyfunction("GOOGLETRANSLATE(B49,""en"",""ar"")"),"آخر")</f>
        <v>آخر</v>
      </c>
      <c r="G49" s="3" t="n">
        <v>0</v>
      </c>
      <c r="H49" s="3" t="n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1"/>
      <c r="B50" s="2" t="s">
        <v>82</v>
      </c>
      <c r="C50" s="1" t="n">
        <v>369</v>
      </c>
      <c r="D50" s="3"/>
      <c r="E50" s="3" t="s">
        <v>83</v>
      </c>
      <c r="F50" s="3" t="str">
        <f aca="false">IFERROR(__xludf.dummyfunction("GOOGLETRANSLATE(B50,""en"",""ar"")"),"زمن")</f>
        <v>زمن</v>
      </c>
      <c r="G50" s="3" t="n">
        <v>0</v>
      </c>
      <c r="H50" s="3" t="n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1"/>
      <c r="B51" s="2" t="s">
        <v>84</v>
      </c>
      <c r="C51" s="1" t="n">
        <v>352</v>
      </c>
      <c r="D51" s="3"/>
      <c r="E51" s="3" t="s">
        <v>85</v>
      </c>
      <c r="F51" s="3" t="str">
        <f aca="false">IFERROR(__xludf.dummyfunction("GOOGLETRANSLATE(B51,""en"",""ar"")"),"وبالتالي")</f>
        <v>وبالتالي</v>
      </c>
      <c r="G51" s="3" t="n">
        <v>0</v>
      </c>
      <c r="H51" s="3" t="n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1"/>
      <c r="B52" s="2" t="s">
        <v>86</v>
      </c>
      <c r="C52" s="1" t="n">
        <v>352</v>
      </c>
      <c r="D52" s="3"/>
      <c r="E52" s="3" t="s">
        <v>87</v>
      </c>
      <c r="F52" s="3" t="str">
        <f aca="false">IFERROR(__xludf.dummyfunction("GOOGLETRANSLATE(B52,""en"",""ar"")"),"كنت")</f>
        <v>كنت</v>
      </c>
      <c r="G52" s="3" t="n">
        <v>0</v>
      </c>
      <c r="H52" s="3" t="n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1"/>
      <c r="B53" s="2" t="s">
        <v>88</v>
      </c>
      <c r="C53" s="1" t="n">
        <v>352</v>
      </c>
      <c r="D53" s="3"/>
      <c r="E53" s="3" t="s">
        <v>30</v>
      </c>
      <c r="F53" s="3" t="str">
        <f aca="false">IFERROR(__xludf.dummyfunction("GOOGLETRANSLATE(B53,""en"",""ar"")"),"نحن")</f>
        <v>نحن</v>
      </c>
      <c r="G53" s="3" t="n">
        <v>0</v>
      </c>
      <c r="H53" s="3" t="n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1"/>
      <c r="B54" s="2" t="s">
        <v>89</v>
      </c>
      <c r="C54" s="1" t="n">
        <v>344</v>
      </c>
      <c r="D54" s="3"/>
      <c r="E54" s="3" t="s">
        <v>62</v>
      </c>
      <c r="F54" s="3" t="str">
        <f aca="false">IFERROR(__xludf.dummyfunction("GOOGLETRANSLATE(B54,""en"",""ar"")"),"هؤلاء")</f>
        <v>هؤلاء</v>
      </c>
      <c r="G54" s="3" t="n">
        <v>0</v>
      </c>
      <c r="H54" s="3" t="n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1"/>
      <c r="B55" s="2" t="s">
        <v>90</v>
      </c>
      <c r="C55" s="1" t="n">
        <v>336</v>
      </c>
      <c r="D55" s="3"/>
      <c r="E55" s="3" t="s">
        <v>74</v>
      </c>
      <c r="F55" s="3" t="str">
        <f aca="false">IFERROR(__xludf.dummyfunction("GOOGLETRANSLATE(B55,""en"",""ar"")"),"مايو")</f>
        <v>مايو</v>
      </c>
      <c r="G55" s="3" t="n">
        <v>0</v>
      </c>
      <c r="H55" s="3" t="n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1"/>
      <c r="B56" s="2" t="s">
        <v>91</v>
      </c>
      <c r="C56" s="1" t="n">
        <v>324</v>
      </c>
      <c r="D56" s="3"/>
      <c r="E56" s="3" t="s">
        <v>92</v>
      </c>
      <c r="F56" s="3" t="str">
        <f aca="false">IFERROR(__xludf.dummyfunction("GOOGLETRANSLATE(B56,""en"",""ar"")"),"مثل")</f>
        <v>مثل</v>
      </c>
      <c r="G56" s="3" t="n">
        <v>0</v>
      </c>
      <c r="H56" s="3" t="n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1"/>
      <c r="B57" s="2" t="s">
        <v>93</v>
      </c>
      <c r="C57" s="1" t="n">
        <v>319</v>
      </c>
      <c r="D57" s="3"/>
      <c r="E57" s="3" t="s">
        <v>94</v>
      </c>
      <c r="F57" s="3" t="str">
        <f aca="false">IFERROR(__xludf.dummyfunction("GOOGLETRANSLATE(B57,""en"",""ar"")"),"استعمال")</f>
        <v>استعمال</v>
      </c>
      <c r="G57" s="3" t="n">
        <v>0</v>
      </c>
      <c r="H57" s="3" t="n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1"/>
      <c r="B58" s="5" t="s">
        <v>95</v>
      </c>
      <c r="C58" s="1" t="n">
        <v>301</v>
      </c>
      <c r="D58" s="3"/>
      <c r="E58" s="3" t="s">
        <v>32</v>
      </c>
      <c r="F58" s="3" t="str">
        <f aca="false">IFERROR(__xludf.dummyfunction("GOOGLETRANSLATE(B58,""en"",""ar"")"),"داخل")</f>
        <v>داخل</v>
      </c>
      <c r="G58" s="3" t="n">
        <v>0</v>
      </c>
      <c r="H58" s="3" t="n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1"/>
      <c r="B59" s="2" t="s">
        <v>96</v>
      </c>
      <c r="C59" s="1" t="n">
        <v>301</v>
      </c>
      <c r="D59" s="3"/>
      <c r="E59" s="3" t="s">
        <v>5</v>
      </c>
      <c r="F59" s="3" t="str">
        <f aca="false">IFERROR(__xludf.dummyfunction("GOOGLETRANSLATE(B59,""en"",""ar"")"),"من")</f>
        <v>من</v>
      </c>
      <c r="G59" s="3" t="n">
        <v>0</v>
      </c>
      <c r="H59" s="3" t="n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1"/>
      <c r="B60" s="2" t="s">
        <v>97</v>
      </c>
      <c r="C60" s="1" t="n">
        <v>296</v>
      </c>
      <c r="D60" s="3"/>
      <c r="E60" s="3" t="s">
        <v>98</v>
      </c>
      <c r="F60" s="3" t="str">
        <f aca="false">IFERROR(__xludf.dummyfunction("GOOGLETRANSLATE(B60,""en"",""ar"")"),"فوق")</f>
        <v>فوق</v>
      </c>
      <c r="G60" s="3" t="n">
        <v>0</v>
      </c>
      <c r="H60" s="3" t="n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1"/>
      <c r="B61" s="2" t="s">
        <v>99</v>
      </c>
      <c r="C61" s="1" t="n">
        <v>294</v>
      </c>
      <c r="D61" s="3"/>
      <c r="E61" s="3" t="s">
        <v>100</v>
      </c>
      <c r="F61" s="3" t="str">
        <f aca="false">IFERROR(__xludf.dummyfunction("GOOGLETRANSLATE(B61,""en"",""ar"")"),"خارج")</f>
        <v>خارج</v>
      </c>
      <c r="G61" s="3" t="n">
        <v>0</v>
      </c>
      <c r="H61" s="3" t="n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1"/>
      <c r="B62" s="2" t="s">
        <v>101</v>
      </c>
      <c r="C62" s="1" t="n">
        <v>281</v>
      </c>
      <c r="D62" s="3"/>
      <c r="E62" s="3" t="s">
        <v>30</v>
      </c>
      <c r="F62" s="3" t="str">
        <f aca="false">IFERROR(__xludf.dummyfunction("GOOGLETRANSLATE(B62,""en"",""ar"")"),"من الذى")</f>
        <v>من الذى</v>
      </c>
      <c r="G62" s="3" t="n">
        <v>0</v>
      </c>
      <c r="H62" s="3" t="n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1"/>
      <c r="B63" s="2" t="s">
        <v>102</v>
      </c>
      <c r="C63" s="1" t="n">
        <v>269</v>
      </c>
      <c r="D63" s="3"/>
      <c r="E63" s="3" t="s">
        <v>30</v>
      </c>
      <c r="F63" s="3" t="str">
        <f aca="false">IFERROR(__xludf.dummyfunction("GOOGLETRANSLATE(B63,""en"",""ar"")"),"معهم")</f>
        <v>معهم</v>
      </c>
      <c r="G63" s="3" t="n">
        <v>0</v>
      </c>
      <c r="H63" s="3" t="n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1"/>
      <c r="B64" s="2" t="s">
        <v>103</v>
      </c>
      <c r="C64" s="1" t="n">
        <v>262</v>
      </c>
      <c r="D64" s="3"/>
      <c r="E64" s="3" t="s">
        <v>94</v>
      </c>
      <c r="F64" s="3" t="str">
        <f aca="false">IFERROR(__xludf.dummyfunction("GOOGLETRANSLATE(B64,""en"",""ar"")"),"صنع")</f>
        <v>صنع</v>
      </c>
      <c r="G64" s="3" t="n">
        <v>0</v>
      </c>
      <c r="H64" s="3" t="n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1"/>
      <c r="B65" s="2" t="s">
        <v>104</v>
      </c>
      <c r="C65" s="1" t="n">
        <v>248</v>
      </c>
      <c r="D65" s="3"/>
      <c r="E65" s="3" t="s">
        <v>5</v>
      </c>
      <c r="F65" s="3" t="str">
        <f aca="false">IFERROR(__xludf.dummyfunction("GOOGLETRANSLATE(B65,""en"",""ar"")"),"لأن")</f>
        <v>لأن</v>
      </c>
      <c r="G65" s="3" t="n">
        <v>0</v>
      </c>
      <c r="H65" s="3" t="n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1"/>
      <c r="B66" s="5" t="s">
        <v>105</v>
      </c>
      <c r="C66" s="1" t="n">
        <v>236</v>
      </c>
      <c r="D66" s="3"/>
      <c r="E66" s="3" t="s">
        <v>50</v>
      </c>
      <c r="F66" s="3" t="str">
        <f aca="false">IFERROR(__xludf.dummyfunction("GOOGLETRANSLATE(B66,""en"",""ar"")"),"مثل")</f>
        <v>مثل</v>
      </c>
      <c r="G66" s="3" t="n">
        <v>0</v>
      </c>
      <c r="H66" s="3" t="n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1"/>
      <c r="B67" s="5" t="s">
        <v>106</v>
      </c>
      <c r="C67" s="1" t="n">
        <v>235</v>
      </c>
      <c r="D67" s="3"/>
      <c r="E67" s="3" t="s">
        <v>28</v>
      </c>
      <c r="F67" s="3" t="str">
        <f aca="false">IFERROR(__xludf.dummyfunction("GOOGLETRANSLATE(B67,""en"",""ar"")"),"عبر")</f>
        <v>عبر</v>
      </c>
      <c r="G67" s="3" t="n">
        <v>0</v>
      </c>
      <c r="H67" s="3" t="n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1"/>
      <c r="B68" s="2" t="s">
        <v>107</v>
      </c>
      <c r="C68" s="1" t="n">
        <v>233</v>
      </c>
      <c r="D68" s="3"/>
      <c r="E68" s="3" t="s">
        <v>12</v>
      </c>
      <c r="F68" s="3" t="str">
        <f aca="false">IFERROR(__xludf.dummyfunction("GOOGLETRANSLATE(B68,""en"",""ar"")"),"احصل على")</f>
        <v>احصل على</v>
      </c>
      <c r="G68" s="3" t="n">
        <v>0</v>
      </c>
      <c r="H68" s="3" t="n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1"/>
      <c r="B69" s="2" t="s">
        <v>108</v>
      </c>
      <c r="C69" s="1" t="n">
        <v>224</v>
      </c>
      <c r="D69" s="3"/>
      <c r="E69" s="3" t="s">
        <v>83</v>
      </c>
      <c r="F69" s="3" t="str">
        <f aca="false">IFERROR(__xludf.dummyfunction("GOOGLETRANSLATE(B69,""en"",""ar"")"),"الشغل")</f>
        <v>الشغل</v>
      </c>
      <c r="G69" s="3" t="n">
        <v>0</v>
      </c>
      <c r="H69" s="3" t="n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1"/>
      <c r="B70" s="2" t="s">
        <v>109</v>
      </c>
      <c r="C70" s="1" t="n">
        <v>223</v>
      </c>
      <c r="D70" s="3"/>
      <c r="E70" s="3" t="s">
        <v>110</v>
      </c>
      <c r="F70" s="3" t="str">
        <f aca="false">IFERROR(__xludf.dummyfunction("GOOGLETRANSLATE(B70,""en"",""ar"")"),"حتى في")</f>
        <v>حتى في</v>
      </c>
      <c r="G70" s="3" t="n">
        <v>0</v>
      </c>
      <c r="H70" s="3" t="n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1"/>
      <c r="B71" s="2" t="s">
        <v>111</v>
      </c>
      <c r="C71" s="1" t="n">
        <v>215</v>
      </c>
      <c r="D71" s="3"/>
      <c r="E71" s="3" t="s">
        <v>112</v>
      </c>
      <c r="F71" s="3" t="str">
        <f aca="false">IFERROR(__xludf.dummyfunction("GOOGLETRANSLATE(B71,""en"",""ar"")"),"مختلف")</f>
        <v>مختلف</v>
      </c>
      <c r="G71" s="3" t="n">
        <v>0</v>
      </c>
      <c r="H71" s="3" t="n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1"/>
      <c r="B72" s="2" t="s">
        <v>113</v>
      </c>
      <c r="C72" s="1" t="n">
        <v>215</v>
      </c>
      <c r="D72" s="3"/>
      <c r="E72" s="3" t="s">
        <v>30</v>
      </c>
      <c r="F72" s="3" t="str">
        <f aca="false">IFERROR(__xludf.dummyfunction("GOOGLETRANSLATE(B72,""en"",""ar"")"),"انها")</f>
        <v>انها</v>
      </c>
      <c r="G72" s="3" t="n">
        <v>0</v>
      </c>
      <c r="H72" s="3" t="n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1"/>
      <c r="B73" s="2" t="s">
        <v>114</v>
      </c>
      <c r="C73" s="1" t="n">
        <v>213</v>
      </c>
      <c r="D73" s="3"/>
      <c r="E73" s="3" t="s">
        <v>115</v>
      </c>
      <c r="F73" s="3" t="str">
        <f aca="false">IFERROR(__xludf.dummyfunction("GOOGLETRANSLATE(B73,""en"",""ar"")"),"لا")</f>
        <v>لا</v>
      </c>
      <c r="G73" s="3" t="n">
        <v>0</v>
      </c>
      <c r="H73" s="3" t="n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1"/>
      <c r="B74" s="2" t="s">
        <v>116</v>
      </c>
      <c r="C74" s="1" t="n">
        <v>213</v>
      </c>
      <c r="D74" s="3"/>
      <c r="E74" s="3" t="s">
        <v>30</v>
      </c>
      <c r="F74" s="3" t="str">
        <f aca="false">IFERROR(__xludf.dummyfunction("GOOGLETRANSLATE(B74,""en"",""ar"")"),"لنا")</f>
        <v>لنا</v>
      </c>
      <c r="G74" s="3" t="n">
        <v>0</v>
      </c>
      <c r="H74" s="3" t="n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1"/>
      <c r="B75" s="2" t="s">
        <v>117</v>
      </c>
      <c r="C75" s="1" t="n">
        <v>210</v>
      </c>
      <c r="D75" s="3"/>
      <c r="E75" s="3" t="s">
        <v>50</v>
      </c>
      <c r="F75" s="3" t="str">
        <f aca="false">IFERROR(__xludf.dummyfunction("GOOGLETRANSLATE(B75,""en"",""ar"")"),"الجديد")</f>
        <v>الجديد</v>
      </c>
      <c r="G75" s="3" t="n">
        <v>0</v>
      </c>
      <c r="H75" s="3" t="n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1"/>
      <c r="B76" s="2" t="s">
        <v>118</v>
      </c>
      <c r="C76" s="1" t="n">
        <v>209</v>
      </c>
      <c r="D76" s="3"/>
      <c r="E76" s="3" t="s">
        <v>119</v>
      </c>
      <c r="F76" s="3" t="str">
        <f aca="false">IFERROR(__xludf.dummyfunction("GOOGLETRANSLATE(B76,""en"",""ar"")"),"فيلم")</f>
        <v>فيلم</v>
      </c>
      <c r="G76" s="3" t="n">
        <v>0</v>
      </c>
      <c r="H76" s="3" t="n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1"/>
      <c r="B77" s="2" t="s">
        <v>120</v>
      </c>
      <c r="C77" s="1" t="n">
        <v>208</v>
      </c>
      <c r="D77" s="3"/>
      <c r="E77" s="3" t="s">
        <v>50</v>
      </c>
      <c r="F77" s="3" t="str">
        <f aca="false">IFERROR(__xludf.dummyfunction("GOOGLETRANSLATE(B77,""en"",""ar"")"),"فقط")</f>
        <v>فقط</v>
      </c>
      <c r="G77" s="3" t="n">
        <v>0</v>
      </c>
      <c r="H77" s="3" t="n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1"/>
      <c r="B78" s="2" t="s">
        <v>121</v>
      </c>
      <c r="C78" s="1" t="n">
        <v>208</v>
      </c>
      <c r="D78" s="3"/>
      <c r="E78" s="3" t="s">
        <v>122</v>
      </c>
      <c r="F78" s="3" t="str">
        <f aca="false">IFERROR(__xludf.dummyfunction("GOOGLETRANSLATE(B78,""en"",""ar"")"),"فقط")</f>
        <v>فقط</v>
      </c>
      <c r="G78" s="3" t="n">
        <v>0</v>
      </c>
      <c r="H78" s="3" t="n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1"/>
      <c r="B79" s="2" t="s">
        <v>123</v>
      </c>
      <c r="C79" s="1" t="n">
        <v>204</v>
      </c>
      <c r="D79" s="3"/>
      <c r="E79" s="3" t="s">
        <v>12</v>
      </c>
      <c r="F79" s="3" t="str">
        <f aca="false">IFERROR(__xludf.dummyfunction("GOOGLETRANSLATE(B79,""en"",""ar"")"),"يرى")</f>
        <v>يرى</v>
      </c>
      <c r="G79" s="3" t="n">
        <v>0</v>
      </c>
      <c r="H79" s="3" t="n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1"/>
      <c r="B80" s="5" t="s">
        <v>124</v>
      </c>
      <c r="C80" s="1" t="n">
        <v>204</v>
      </c>
      <c r="D80" s="3"/>
      <c r="E80" s="3" t="s">
        <v>112</v>
      </c>
      <c r="F80" s="3" t="str">
        <f aca="false">IFERROR(__xludf.dummyfunction("GOOGLETRANSLATE(B80,""en"",""ar"")"),"تستخدم")</f>
        <v>تستخدم</v>
      </c>
      <c r="G80" s="3" t="n">
        <v>0</v>
      </c>
      <c r="H80" s="3" t="n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1"/>
      <c r="B81" s="2" t="s">
        <v>125</v>
      </c>
      <c r="C81" s="1" t="n">
        <v>201</v>
      </c>
      <c r="D81" s="3"/>
      <c r="E81" s="3" t="s">
        <v>126</v>
      </c>
      <c r="F81" s="3" t="str">
        <f aca="false">IFERROR(__xludf.dummyfunction("GOOGLETRANSLATE(B81,""en"",""ar"")"),"حسن")</f>
        <v>حسن</v>
      </c>
      <c r="G81" s="3" t="n">
        <v>0</v>
      </c>
      <c r="H81" s="3" t="n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1"/>
      <c r="B82" s="2" t="s">
        <v>127</v>
      </c>
      <c r="C82" s="1" t="n">
        <v>201</v>
      </c>
      <c r="D82" s="3"/>
      <c r="E82" s="3" t="s">
        <v>128</v>
      </c>
      <c r="F82" s="3" t="str">
        <f aca="false">IFERROR(__xludf.dummyfunction("GOOGLETRANSLATE(B82,""en"",""ar"")"),"ماء")</f>
        <v>ماء</v>
      </c>
      <c r="G82" s="3" t="n">
        <v>0</v>
      </c>
      <c r="H82" s="3" t="n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1"/>
      <c r="B83" s="2" t="s">
        <v>129</v>
      </c>
      <c r="C83" s="1" t="n">
        <v>200</v>
      </c>
      <c r="D83" s="3"/>
      <c r="E83" s="3" t="s">
        <v>87</v>
      </c>
      <c r="F83" s="3" t="str">
        <f aca="false">IFERROR(__xludf.dummyfunction("GOOGLETRANSLATE(B83,""en"",""ar"")"),"ايضا")</f>
        <v>ايضا</v>
      </c>
      <c r="G83" s="3" t="n">
        <v>0</v>
      </c>
      <c r="H83" s="3" t="n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1"/>
      <c r="B84" s="2" t="s">
        <v>130</v>
      </c>
      <c r="C84" s="1" t="n">
        <v>193</v>
      </c>
      <c r="D84" s="3"/>
      <c r="E84" s="3" t="s">
        <v>12</v>
      </c>
      <c r="F84" s="3" t="str">
        <f aca="false">IFERROR(__xludf.dummyfunction("GOOGLETRANSLATE(B84,""en"",""ar"")"),"يحتاج")</f>
        <v>يحتاج</v>
      </c>
      <c r="G84" s="3" t="n">
        <v>0</v>
      </c>
      <c r="H84" s="3" t="n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1"/>
      <c r="B85" s="2" t="s">
        <v>131</v>
      </c>
      <c r="C85" s="1" t="n">
        <v>191</v>
      </c>
      <c r="D85" s="3"/>
      <c r="E85" s="3" t="s">
        <v>74</v>
      </c>
      <c r="F85" s="3" t="str">
        <f aca="false">IFERROR(__xludf.dummyfunction("GOOGLETRANSLATE(B85,""en"",""ar"")"),"ينبغي")</f>
        <v>ينبغي</v>
      </c>
      <c r="G85" s="3" t="n">
        <v>0</v>
      </c>
      <c r="H85" s="3" t="n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1"/>
      <c r="B86" s="2" t="s">
        <v>132</v>
      </c>
      <c r="C86" s="1" t="n">
        <v>191</v>
      </c>
      <c r="D86" s="3"/>
      <c r="E86" s="3" t="s">
        <v>42</v>
      </c>
      <c r="F86" s="3" t="str">
        <f aca="false">IFERROR(__xludf.dummyfunction("GOOGLETRANSLATE(B86,""en"",""ar"")"),"جدا")</f>
        <v>جدا</v>
      </c>
      <c r="G86" s="3" t="n">
        <v>0</v>
      </c>
      <c r="H86" s="3" t="n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1"/>
      <c r="B87" s="2" t="s">
        <v>133</v>
      </c>
      <c r="C87" s="1" t="n">
        <v>190</v>
      </c>
      <c r="D87" s="3"/>
      <c r="E87" s="3" t="s">
        <v>50</v>
      </c>
      <c r="F87" s="3" t="str">
        <f aca="false">IFERROR(__xludf.dummyfunction("GOOGLETRANSLATE(B87,""en"",""ar"")"),"أي")</f>
        <v>أي</v>
      </c>
      <c r="G87" s="3" t="n">
        <v>0</v>
      </c>
      <c r="H87" s="3" t="n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1"/>
      <c r="B88" s="2" t="s">
        <v>134</v>
      </c>
      <c r="C88" s="1" t="n">
        <v>187</v>
      </c>
      <c r="D88" s="3"/>
      <c r="E88" s="3" t="s">
        <v>79</v>
      </c>
      <c r="F88" s="3" t="str">
        <f aca="false">IFERROR(__xludf.dummyfunction("GOOGLETRANSLATE(B88,""en"",""ar"")"),"التاريخ")</f>
        <v>التاريخ</v>
      </c>
      <c r="G88" s="3" t="n">
        <v>0</v>
      </c>
      <c r="H88" s="3" t="n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1"/>
      <c r="B89" s="5" t="s">
        <v>135</v>
      </c>
      <c r="C89" s="1" t="n">
        <v>187</v>
      </c>
      <c r="D89" s="3"/>
      <c r="E89" s="3" t="s">
        <v>42</v>
      </c>
      <c r="F89" s="3" t="str">
        <f aca="false">IFERROR(__xludf.dummyfunction("GOOGLETRANSLATE(B89,""en"",""ar"")"),"غالبا")</f>
        <v>غالبا</v>
      </c>
      <c r="G89" s="3" t="n">
        <v>0</v>
      </c>
      <c r="H89" s="3" t="n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1"/>
      <c r="B90" s="2" t="s">
        <v>136</v>
      </c>
      <c r="C90" s="1" t="n">
        <v>185</v>
      </c>
      <c r="D90" s="3"/>
      <c r="E90" s="3" t="s">
        <v>79</v>
      </c>
      <c r="F90" s="3" t="str">
        <f aca="false">IFERROR(__xludf.dummyfunction("GOOGLETRANSLATE(B90,""en"",""ar"")"),"طريق")</f>
        <v>طريق</v>
      </c>
      <c r="G90" s="3" t="n">
        <v>0</v>
      </c>
      <c r="H90" s="3" t="n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1"/>
      <c r="B91" s="2" t="s">
        <v>137</v>
      </c>
      <c r="C91" s="1" t="n">
        <v>184</v>
      </c>
      <c r="D91" s="3"/>
      <c r="E91" s="3" t="s">
        <v>138</v>
      </c>
      <c r="F91" s="3" t="str">
        <f aca="false">IFERROR(__xludf.dummyfunction("GOOGLETRANSLATE(B91,""en"",""ar"")"),"نحن سوف")</f>
        <v>نحن سوف</v>
      </c>
      <c r="G91" s="3" t="n">
        <v>0</v>
      </c>
      <c r="H91" s="3" t="n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1"/>
      <c r="B92" s="2" t="s">
        <v>139</v>
      </c>
      <c r="C92" s="1" t="n">
        <v>183</v>
      </c>
      <c r="D92" s="3"/>
      <c r="E92" s="3" t="s">
        <v>79</v>
      </c>
      <c r="F92" s="3" t="str">
        <f aca="false">IFERROR(__xludf.dummyfunction("GOOGLETRANSLATE(B92,""en"",""ar"")"),"فن")</f>
        <v>فن</v>
      </c>
      <c r="G92" s="3" t="n">
        <v>0</v>
      </c>
      <c r="H92" s="3" t="n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1"/>
      <c r="B93" s="2" t="s">
        <v>140</v>
      </c>
      <c r="C93" s="1" t="n">
        <v>181</v>
      </c>
      <c r="D93" s="3"/>
      <c r="E93" s="3" t="s">
        <v>12</v>
      </c>
      <c r="F93" s="3" t="str">
        <f aca="false">IFERROR(__xludf.dummyfunction("GOOGLETRANSLATE(B93,""en"",""ar"")"),"أعرف")</f>
        <v>أعرف</v>
      </c>
      <c r="G93" s="3" t="n">
        <v>0</v>
      </c>
      <c r="H93" s="3" t="n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1"/>
      <c r="B94" s="5" t="s">
        <v>141</v>
      </c>
      <c r="C94" s="1" t="n">
        <v>180</v>
      </c>
      <c r="D94" s="3"/>
      <c r="E94" s="3" t="s">
        <v>87</v>
      </c>
      <c r="F94" s="3" t="str">
        <f aca="false">IFERROR(__xludf.dummyfunction("GOOGLETRANSLATE(B94,""en"",""ar"")"),"كانوا")</f>
        <v>كانوا</v>
      </c>
      <c r="G94" s="3" t="n">
        <v>0</v>
      </c>
      <c r="H94" s="3" t="n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1"/>
      <c r="B95" s="2" t="s">
        <v>142</v>
      </c>
      <c r="C95" s="1" t="n">
        <v>179</v>
      </c>
      <c r="D95" s="3"/>
      <c r="E95" s="3" t="s">
        <v>143</v>
      </c>
      <c r="F95" s="3" t="str">
        <f aca="false">IFERROR(__xludf.dummyfunction("GOOGLETRANSLATE(B95,""en"",""ar"")"),"ومن بعد")</f>
        <v>ومن بعد</v>
      </c>
      <c r="G95" s="3" t="n">
        <v>0</v>
      </c>
      <c r="H95" s="3" t="n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1"/>
      <c r="B96" s="2" t="s">
        <v>144</v>
      </c>
      <c r="C96" s="1" t="n">
        <v>177</v>
      </c>
      <c r="D96" s="3"/>
      <c r="E96" s="3" t="s">
        <v>30</v>
      </c>
      <c r="F96" s="3" t="str">
        <f aca="false">IFERROR(__xludf.dummyfunction("GOOGLETRANSLATE(B96,""en"",""ar"")"),"لي")</f>
        <v>لي</v>
      </c>
      <c r="G96" s="3" t="n">
        <v>0</v>
      </c>
      <c r="H96" s="3" t="n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1"/>
      <c r="B97" s="2" t="s">
        <v>145</v>
      </c>
      <c r="C97" s="1" t="n">
        <v>176</v>
      </c>
      <c r="D97" s="3"/>
      <c r="E97" s="3" t="s">
        <v>143</v>
      </c>
      <c r="F97" s="3" t="str">
        <f aca="false">IFERROR(__xludf.dummyfunction("GOOGLETRANSLATE(B97,""en"",""ar"")"),"أول")</f>
        <v>أول</v>
      </c>
      <c r="G97" s="3" t="n">
        <v>0</v>
      </c>
      <c r="H97" s="3" t="n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1"/>
      <c r="B98" s="2" t="s">
        <v>146</v>
      </c>
      <c r="C98" s="1" t="n">
        <v>176</v>
      </c>
      <c r="D98" s="3"/>
      <c r="E98" s="3" t="s">
        <v>12</v>
      </c>
      <c r="F98" s="3" t="str">
        <f aca="false">IFERROR(__xludf.dummyfunction("GOOGLETRANSLATE(B98,""en"",""ar"")"),"سيكون")</f>
        <v>سيكون</v>
      </c>
      <c r="G98" s="3" t="n">
        <v>0</v>
      </c>
      <c r="H98" s="3" t="n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1"/>
      <c r="B99" s="2" t="s">
        <v>147</v>
      </c>
      <c r="C99" s="1" t="n">
        <v>174</v>
      </c>
      <c r="D99" s="3"/>
      <c r="E99" s="3" t="s">
        <v>148</v>
      </c>
      <c r="F99" s="3" t="str">
        <f aca="false">IFERROR(__xludf.dummyfunction("GOOGLETRANSLATE(B99,""en"",""ar"")"),"مال")</f>
        <v>مال</v>
      </c>
      <c r="G99" s="3" t="n">
        <v>0</v>
      </c>
      <c r="H99" s="3" t="n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1" t="n">
        <v>8</v>
      </c>
      <c r="B100" s="5" t="s">
        <v>149</v>
      </c>
      <c r="C100" s="1" t="n">
        <v>173</v>
      </c>
      <c r="D100" s="3"/>
      <c r="E100" s="3" t="s">
        <v>50</v>
      </c>
      <c r="F100" s="3" t="str">
        <f aca="false">IFERROR(__xludf.dummyfunction("GOOGLETRANSLATE(B100,""en"",""ar"")"),"كل")</f>
        <v>كل</v>
      </c>
      <c r="G100" s="3" t="n">
        <v>0</v>
      </c>
      <c r="H100" s="3" t="n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1"/>
      <c r="B101" s="5" t="s">
        <v>150</v>
      </c>
      <c r="C101" s="1" t="n">
        <v>170</v>
      </c>
      <c r="D101" s="3"/>
      <c r="E101" s="3" t="s">
        <v>151</v>
      </c>
      <c r="F101" s="3" t="str">
        <f aca="false">IFERROR(__xludf.dummyfunction("GOOGLETRANSLATE(B101,""en"",""ar"")"),"على")</f>
        <v>على</v>
      </c>
      <c r="G101" s="3" t="n">
        <v>0</v>
      </c>
      <c r="H101" s="3" t="n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1"/>
      <c r="B102" s="2" t="s">
        <v>152</v>
      </c>
      <c r="C102" s="1" t="n">
        <v>169</v>
      </c>
      <c r="D102" s="3"/>
      <c r="E102" s="3" t="s">
        <v>79</v>
      </c>
      <c r="F102" s="3" t="str">
        <f aca="false">IFERROR(__xludf.dummyfunction("GOOGLETRANSLATE(B102,""en"",""ar"")"),"العالمية")</f>
        <v>العالمية</v>
      </c>
      <c r="G102" s="3" t="n">
        <v>0</v>
      </c>
      <c r="H102" s="3" t="n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1"/>
      <c r="B103" s="2" t="s">
        <v>153</v>
      </c>
      <c r="C103" s="1" t="n">
        <v>168</v>
      </c>
      <c r="D103" s="3"/>
      <c r="E103" s="3" t="s">
        <v>79</v>
      </c>
      <c r="F103" s="3" t="str">
        <f aca="false">IFERROR(__xludf.dummyfunction("GOOGLETRANSLATE(B103,""en"",""ar"")"),"معلومة")</f>
        <v>معلومة</v>
      </c>
      <c r="G103" s="3" t="n">
        <v>0</v>
      </c>
      <c r="H103" s="3" t="n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1"/>
      <c r="B104" s="2" t="s">
        <v>154</v>
      </c>
      <c r="C104" s="1" t="n">
        <v>167</v>
      </c>
      <c r="D104" s="3"/>
      <c r="E104" s="3" t="s">
        <v>79</v>
      </c>
      <c r="F104" s="3" t="str">
        <f aca="false">IFERROR(__xludf.dummyfunction("GOOGLETRANSLATE(B104,""en"",""ar"")"),"خريطة")</f>
        <v>خريطة</v>
      </c>
      <c r="G104" s="3" t="n">
        <v>0</v>
      </c>
      <c r="H104" s="3" t="n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1"/>
      <c r="B105" s="5" t="s">
        <v>155</v>
      </c>
      <c r="C105" s="1" t="n">
        <v>166</v>
      </c>
      <c r="D105" s="3"/>
      <c r="E105" s="3" t="s">
        <v>12</v>
      </c>
      <c r="F105" s="3" t="str">
        <f aca="false">IFERROR(__xludf.dummyfunction("GOOGLETRANSLATE(B105,""en"",""ar"")"),"تجد")</f>
        <v>تجد</v>
      </c>
      <c r="G105" s="3" t="n">
        <v>0</v>
      </c>
      <c r="H105" s="3" t="n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1"/>
      <c r="B106" s="2" t="s">
        <v>156</v>
      </c>
      <c r="C106" s="1" t="n">
        <v>166</v>
      </c>
      <c r="D106" s="3"/>
      <c r="E106" s="3" t="s">
        <v>157</v>
      </c>
      <c r="F106" s="3" t="str">
        <f aca="false">IFERROR(__xludf.dummyfunction("GOOGLETRANSLATE(B106,""en"",""ar"")"),"أين")</f>
        <v>أين</v>
      </c>
      <c r="G106" s="3" t="n">
        <v>0</v>
      </c>
      <c r="H106" s="3" t="n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1"/>
      <c r="B107" s="2" t="s">
        <v>158</v>
      </c>
      <c r="C107" s="1" t="n">
        <v>165</v>
      </c>
      <c r="D107" s="3"/>
      <c r="E107" s="3" t="s">
        <v>50</v>
      </c>
      <c r="F107" s="3" t="str">
        <f aca="false">IFERROR(__xludf.dummyfunction("GOOGLETRANSLATE(B107,""en"",""ar"")"),"كثير")</f>
        <v>كثير</v>
      </c>
      <c r="G107" s="3" t="n">
        <v>0</v>
      </c>
      <c r="H107" s="3" t="n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1"/>
      <c r="B108" s="2" t="s">
        <v>159</v>
      </c>
      <c r="C108" s="1" t="n">
        <v>164</v>
      </c>
      <c r="D108" s="3"/>
      <c r="E108" s="3" t="s">
        <v>12</v>
      </c>
      <c r="F108" s="3" t="str">
        <f aca="false">IFERROR(__xludf.dummyfunction("GOOGLETRANSLATE(B108,""en"",""ar"")"),"يأخذ")</f>
        <v>يأخذ</v>
      </c>
      <c r="G108" s="3" t="n">
        <v>0</v>
      </c>
      <c r="H108" s="3" t="n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1"/>
      <c r="B109" s="2" t="s">
        <v>160</v>
      </c>
      <c r="C109" s="1" t="n">
        <v>164</v>
      </c>
      <c r="D109" s="3"/>
      <c r="E109" s="3" t="s">
        <v>79</v>
      </c>
      <c r="F109" s="3" t="str">
        <f aca="false">IFERROR(__xludf.dummyfunction("GOOGLETRANSLATE(B109,""en"",""ar"")"),"اثنين")</f>
        <v>اثنين</v>
      </c>
      <c r="G109" s="3" t="n">
        <v>0</v>
      </c>
      <c r="H109" s="3" t="n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1"/>
      <c r="B110" s="2" t="s">
        <v>161</v>
      </c>
      <c r="C110" s="1" t="n">
        <v>163</v>
      </c>
      <c r="D110" s="3"/>
      <c r="E110" s="3" t="s">
        <v>12</v>
      </c>
      <c r="F110" s="3" t="str">
        <f aca="false">IFERROR(__xludf.dummyfunction("GOOGLETRANSLATE(B110,""en"",""ar"")"),"يريد")</f>
        <v>يريد</v>
      </c>
      <c r="G110" s="3" t="n">
        <v>0</v>
      </c>
      <c r="H110" s="3" t="n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1"/>
      <c r="B111" s="2" t="s">
        <v>162</v>
      </c>
      <c r="C111" s="1" t="n">
        <v>160</v>
      </c>
      <c r="D111" s="3"/>
      <c r="E111" s="3" t="s">
        <v>112</v>
      </c>
      <c r="F111" s="3" t="str">
        <f aca="false">IFERROR(__xludf.dummyfunction("GOOGLETRANSLATE(B111,""en"",""ar"")"),"مهم")</f>
        <v>مهم</v>
      </c>
      <c r="G111" s="3" t="n">
        <v>0</v>
      </c>
      <c r="H111" s="3" t="n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1"/>
      <c r="B112" s="2" t="s">
        <v>163</v>
      </c>
      <c r="C112" s="1" t="n">
        <v>159</v>
      </c>
      <c r="D112" s="3"/>
      <c r="E112" s="3" t="s">
        <v>79</v>
      </c>
      <c r="F112" s="3" t="str">
        <f aca="false">IFERROR(__xludf.dummyfunction("GOOGLETRANSLATE(B112,""en"",""ar"")"),"الأسرة")</f>
        <v>الأسرة</v>
      </c>
      <c r="G112" s="3" t="n">
        <v>0</v>
      </c>
      <c r="H112" s="3" t="n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1"/>
      <c r="B113" s="2" t="s">
        <v>164</v>
      </c>
      <c r="C113" s="1" t="n">
        <v>156</v>
      </c>
      <c r="D113" s="3"/>
      <c r="E113" s="3" t="s">
        <v>30</v>
      </c>
      <c r="F113" s="3" t="str">
        <f aca="false">IFERROR(__xludf.dummyfunction("GOOGLETRANSLATE(B113,""en"",""ar"")"),"أولئك")</f>
        <v>أولئك</v>
      </c>
      <c r="G113" s="3" t="n">
        <v>0</v>
      </c>
      <c r="H113" s="3" t="n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1"/>
      <c r="B114" s="2" t="s">
        <v>165</v>
      </c>
      <c r="C114" s="1" t="n">
        <v>147</v>
      </c>
      <c r="D114" s="3"/>
      <c r="E114" s="3" t="s">
        <v>119</v>
      </c>
      <c r="F114" s="3" t="str">
        <f aca="false">IFERROR(__xludf.dummyfunction("GOOGLETRANSLATE(B114,""en"",""ar"")"),"مثال")</f>
        <v>مثال</v>
      </c>
      <c r="G114" s="3" t="n">
        <v>0</v>
      </c>
      <c r="H114" s="3" t="n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1"/>
      <c r="B115" s="5" t="s">
        <v>166</v>
      </c>
      <c r="C115" s="1" t="n">
        <v>147</v>
      </c>
      <c r="D115" s="3"/>
      <c r="E115" s="3" t="s">
        <v>167</v>
      </c>
      <c r="F115" s="3" t="str">
        <f aca="false">IFERROR(__xludf.dummyfunction("GOOGLETRANSLATE(B115,""en"",""ar"")"),"في حين")</f>
        <v>في حين</v>
      </c>
      <c r="G115" s="3" t="n">
        <v>0</v>
      </c>
      <c r="H115" s="3" t="n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1"/>
      <c r="B116" s="2" t="s">
        <v>168</v>
      </c>
      <c r="C116" s="1" t="n">
        <v>144</v>
      </c>
      <c r="D116" s="3"/>
      <c r="E116" s="3" t="s">
        <v>30</v>
      </c>
      <c r="F116" s="3" t="str">
        <f aca="false">IFERROR(__xludf.dummyfunction("GOOGLETRANSLATE(B116,""en"",""ar"")"),"هو")</f>
        <v>هو</v>
      </c>
      <c r="G116" s="3" t="n">
        <v>0</v>
      </c>
      <c r="H116" s="3" t="n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1"/>
      <c r="B117" s="2" t="s">
        <v>169</v>
      </c>
      <c r="C117" s="1" t="n">
        <v>144</v>
      </c>
      <c r="D117" s="3"/>
      <c r="E117" s="3" t="s">
        <v>170</v>
      </c>
      <c r="F117" s="3" t="str">
        <f aca="false">IFERROR(__xludf.dummyfunction("GOOGLETRANSLATE(B117,""en"",""ar"")"),"نظرة")</f>
        <v>نظرة</v>
      </c>
      <c r="G117" s="3" t="n">
        <v>0</v>
      </c>
      <c r="H117" s="3" t="n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1"/>
      <c r="B118" s="5" t="s">
        <v>171</v>
      </c>
      <c r="C118" s="1" t="n">
        <v>143</v>
      </c>
      <c r="D118" s="3"/>
      <c r="E118" s="3" t="s">
        <v>79</v>
      </c>
      <c r="F118" s="3" t="str">
        <f aca="false">IFERROR(__xludf.dummyfunction("GOOGLETRANSLATE(B118,""en"",""ar"")"),"حكومة")</f>
        <v>حكومة</v>
      </c>
      <c r="G118" s="3" t="n">
        <v>0</v>
      </c>
      <c r="H118" s="3" t="n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1"/>
      <c r="B119" s="2" t="s">
        <v>172</v>
      </c>
      <c r="C119" s="1" t="n">
        <v>141</v>
      </c>
      <c r="D119" s="3"/>
      <c r="E119" s="3" t="s">
        <v>173</v>
      </c>
      <c r="F119" s="3" t="str">
        <f aca="false">IFERROR(__xludf.dummyfunction("GOOGLETRANSLATE(B119,""en"",""ar"")"),"قبل")</f>
        <v>قبل</v>
      </c>
      <c r="G119" s="3" t="n">
        <v>0</v>
      </c>
      <c r="H119" s="3" t="n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1"/>
      <c r="B120" s="2" t="s">
        <v>174</v>
      </c>
      <c r="C120" s="1" t="n">
        <v>141</v>
      </c>
      <c r="D120" s="3"/>
      <c r="E120" s="3" t="s">
        <v>170</v>
      </c>
      <c r="F120" s="3" t="str">
        <f aca="false">IFERROR(__xludf.dummyfunction("GOOGLETRANSLATE(B120,""en"",""ar"")"),"يساعد")</f>
        <v>يساعد</v>
      </c>
      <c r="G120" s="3" t="n">
        <v>0</v>
      </c>
      <c r="H120" s="3" t="n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1"/>
      <c r="B121" s="2" t="s">
        <v>175</v>
      </c>
      <c r="C121" s="1" t="n">
        <v>137</v>
      </c>
      <c r="D121" s="3"/>
      <c r="E121" s="3" t="s">
        <v>7</v>
      </c>
      <c r="F121" s="3" t="str">
        <f aca="false">IFERROR(__xludf.dummyfunction("GOOGLETRANSLATE(B121,""en"",""ar"")"),"ما بين")</f>
        <v>ما بين</v>
      </c>
      <c r="G121" s="3" t="n">
        <v>0</v>
      </c>
      <c r="H121" s="3" t="n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1"/>
      <c r="B122" s="2" t="s">
        <v>176</v>
      </c>
      <c r="C122" s="1" t="n">
        <v>131</v>
      </c>
      <c r="D122" s="3"/>
      <c r="E122" s="3" t="s">
        <v>177</v>
      </c>
      <c r="F122" s="3" t="str">
        <f aca="false">IFERROR(__xludf.dummyfunction("GOOGLETRANSLATE(B122,""en"",""ar"")"),"اذهب")</f>
        <v>اذهب</v>
      </c>
      <c r="G122" s="3" t="n">
        <v>0</v>
      </c>
      <c r="H122" s="3" t="n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1"/>
      <c r="B123" s="2" t="s">
        <v>178</v>
      </c>
      <c r="C123" s="1" t="n">
        <v>130</v>
      </c>
      <c r="D123" s="3"/>
      <c r="E123" s="3" t="s">
        <v>179</v>
      </c>
      <c r="F123" s="3" t="str">
        <f aca="false">IFERROR(__xludf.dummyfunction("GOOGLETRANSLATE(B123,""en"",""ar"")"),"خاصة")</f>
        <v>خاصة</v>
      </c>
      <c r="G123" s="3" t="n">
        <v>0</v>
      </c>
      <c r="H123" s="3" t="n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1"/>
      <c r="B124" s="5" t="s">
        <v>180</v>
      </c>
      <c r="C124" s="1" t="n">
        <v>128</v>
      </c>
      <c r="D124" s="3"/>
      <c r="E124" s="3" t="s">
        <v>42</v>
      </c>
      <c r="F124" s="3" t="str">
        <f aca="false">IFERROR(__xludf.dummyfunction("GOOGLETRANSLATE(B124,""en"",""ar"")"),"ومع ذلك")</f>
        <v>ومع ذلك</v>
      </c>
      <c r="G124" s="3" t="n">
        <v>0</v>
      </c>
      <c r="H124" s="3" t="n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1"/>
      <c r="B125" s="2" t="s">
        <v>181</v>
      </c>
      <c r="C125" s="1" t="n">
        <v>127</v>
      </c>
      <c r="D125" s="3"/>
      <c r="E125" s="3" t="s">
        <v>148</v>
      </c>
      <c r="F125" s="3" t="str">
        <f aca="false">IFERROR(__xludf.dummyfunction("GOOGLETRANSLATE(B125,""en"",""ar"")"),"اعمال")</f>
        <v>اعمال</v>
      </c>
      <c r="G125" s="3" t="n">
        <v>0</v>
      </c>
      <c r="H125" s="3" t="n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1"/>
      <c r="B126" s="2" t="s">
        <v>182</v>
      </c>
      <c r="C126" s="1" t="n">
        <v>127</v>
      </c>
      <c r="D126" s="3"/>
      <c r="E126" s="3" t="s">
        <v>30</v>
      </c>
      <c r="F126" s="3" t="str">
        <f aca="false">IFERROR(__xludf.dummyfunction("GOOGLETRANSLATE(B126,""en"",""ar"")"),"نحن")</f>
        <v>نحن</v>
      </c>
      <c r="G126" s="3" t="n">
        <v>0</v>
      </c>
      <c r="H126" s="3" t="n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1"/>
      <c r="B127" s="2" t="s">
        <v>183</v>
      </c>
      <c r="C127" s="1" t="n">
        <v>126</v>
      </c>
      <c r="D127" s="3"/>
      <c r="E127" s="3" t="s">
        <v>126</v>
      </c>
      <c r="F127" s="3" t="str">
        <f aca="false">IFERROR(__xludf.dummyfunction("GOOGLETRANSLATE(B127,""en"",""ar"")"),"رائعة")</f>
        <v>رائعة</v>
      </c>
      <c r="G127" s="3" t="n">
        <v>0</v>
      </c>
      <c r="H127" s="3" t="n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1"/>
      <c r="B128" s="2" t="s">
        <v>184</v>
      </c>
      <c r="C128" s="1" t="n">
        <v>125</v>
      </c>
      <c r="D128" s="3"/>
      <c r="E128" s="3" t="s">
        <v>62</v>
      </c>
      <c r="F128" s="3" t="str">
        <f aca="false">IFERROR(__xludf.dummyfunction("GOOGLETRANSLATE(B128,""en"",""ar"")"),"له")</f>
        <v>له</v>
      </c>
      <c r="G128" s="3" t="n">
        <v>0</v>
      </c>
      <c r="H128" s="3" t="n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1"/>
      <c r="B129" s="5" t="s">
        <v>185</v>
      </c>
      <c r="C129" s="1" t="n">
        <v>124</v>
      </c>
      <c r="D129" s="3"/>
      <c r="E129" s="3" t="s">
        <v>94</v>
      </c>
      <c r="F129" s="3" t="str">
        <f aca="false">IFERROR(__xludf.dummyfunction("GOOGLETRANSLATE(B129,""en"",""ar"")"),"يجري")</f>
        <v>يجري</v>
      </c>
      <c r="G129" s="3" t="n">
        <v>0</v>
      </c>
      <c r="H129" s="3" t="n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1"/>
      <c r="B130" s="2" t="s">
        <v>186</v>
      </c>
      <c r="C130" s="1" t="n">
        <v>123</v>
      </c>
      <c r="D130" s="3"/>
      <c r="E130" s="3" t="s">
        <v>187</v>
      </c>
      <c r="F130" s="3" t="str">
        <f aca="false">IFERROR(__xludf.dummyfunction("GOOGLETRANSLATE(B130,""en"",""ar"")"),"اخر")</f>
        <v>اخر</v>
      </c>
      <c r="G130" s="3" t="n">
        <v>0</v>
      </c>
      <c r="H130" s="3" t="n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1"/>
      <c r="B131" s="5" t="s">
        <v>188</v>
      </c>
      <c r="C131" s="1" t="n">
        <v>122</v>
      </c>
      <c r="D131" s="3"/>
      <c r="E131" s="3" t="s">
        <v>79</v>
      </c>
      <c r="F131" s="3" t="str">
        <f aca="false">IFERROR(__xludf.dummyfunction("GOOGLETRANSLATE(B131,""en"",""ar"")"),"صحة")</f>
        <v>صحة</v>
      </c>
      <c r="G131" s="3" t="n">
        <v>0</v>
      </c>
      <c r="H131" s="3" t="n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1"/>
      <c r="B132" s="2" t="s">
        <v>189</v>
      </c>
      <c r="C132" s="1" t="n">
        <v>120</v>
      </c>
      <c r="D132" s="3"/>
      <c r="E132" s="3" t="s">
        <v>55</v>
      </c>
      <c r="F132" s="3" t="str">
        <f aca="false">IFERROR(__xludf.dummyfunction("GOOGLETRANSLATE(B132,""en"",""ar"")"),"نفس")</f>
        <v>نفس</v>
      </c>
      <c r="G132" s="3" t="n">
        <v>0</v>
      </c>
      <c r="H132" s="3" t="n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1"/>
      <c r="B133" s="2" t="s">
        <v>190</v>
      </c>
      <c r="C133" s="1" t="n">
        <v>118</v>
      </c>
      <c r="D133" s="3"/>
      <c r="E133" s="3" t="s">
        <v>119</v>
      </c>
      <c r="F133" s="3" t="str">
        <f aca="false">IFERROR(__xludf.dummyfunction("GOOGLETRANSLATE(B133,""en"",""ar"")"),"دراسة")</f>
        <v>دراسة</v>
      </c>
      <c r="G133" s="3" t="n">
        <v>0</v>
      </c>
      <c r="H133" s="3" t="n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1"/>
      <c r="B134" s="2" t="s">
        <v>191</v>
      </c>
      <c r="C134" s="1" t="n">
        <v>118</v>
      </c>
      <c r="D134" s="3"/>
      <c r="E134" s="3" t="s">
        <v>192</v>
      </c>
      <c r="F134" s="3" t="str">
        <f aca="false">IFERROR(__xludf.dummyfunction("GOOGLETRANSLATE(B134,""en"",""ar"")"),"لماذا")</f>
        <v>لماذا</v>
      </c>
      <c r="G134" s="3" t="n">
        <v>0</v>
      </c>
      <c r="H134" s="3" t="n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1"/>
      <c r="B135" s="5" t="s">
        <v>193</v>
      </c>
      <c r="C135" s="1" t="n">
        <v>117</v>
      </c>
      <c r="D135" s="3"/>
      <c r="E135" s="3" t="s">
        <v>66</v>
      </c>
      <c r="F135" s="3" t="str">
        <f aca="false">IFERROR(__xludf.dummyfunction("GOOGLETRANSLATE(B135,""en"",""ar"")"),"قليل")</f>
        <v>قليل</v>
      </c>
      <c r="G135" s="3" t="n">
        <v>0</v>
      </c>
      <c r="H135" s="3" t="n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1"/>
      <c r="B136" s="2" t="s">
        <v>194</v>
      </c>
      <c r="C136" s="1" t="n">
        <v>117</v>
      </c>
      <c r="D136" s="3"/>
      <c r="E136" s="3" t="s">
        <v>83</v>
      </c>
      <c r="F136" s="3" t="str">
        <f aca="false">IFERROR(__xludf.dummyfunction("GOOGLETRANSLATE(B136,""en"",""ar"")"),"لعبه")</f>
        <v>لعبه</v>
      </c>
      <c r="G136" s="3" t="n">
        <v>0</v>
      </c>
      <c r="H136" s="3" t="n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1"/>
      <c r="B137" s="2" t="s">
        <v>195</v>
      </c>
      <c r="C137" s="1" t="n">
        <v>116</v>
      </c>
      <c r="D137" s="3"/>
      <c r="E137" s="3" t="s">
        <v>34</v>
      </c>
      <c r="F137" s="3" t="str">
        <f aca="false">IFERROR(__xludf.dummyfunction("GOOGLETRANSLATE(B137,""en"",""ar"")"),"قد")</f>
        <v>قد</v>
      </c>
      <c r="G137" s="3" t="n">
        <v>0</v>
      </c>
      <c r="H137" s="3" t="n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1"/>
      <c r="B138" s="2" t="s">
        <v>196</v>
      </c>
      <c r="C138" s="1" t="n">
        <v>116</v>
      </c>
      <c r="D138" s="3"/>
      <c r="E138" s="3" t="s">
        <v>197</v>
      </c>
      <c r="F138" s="3" t="str">
        <f aca="false">IFERROR(__xludf.dummyfunction("GOOGLETRANSLATE(B138,""en"",""ar"")"),"فكر في")</f>
        <v>فكر في</v>
      </c>
      <c r="G138" s="3" t="n">
        <v>0</v>
      </c>
      <c r="H138" s="3" t="n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1"/>
      <c r="B139" s="2" t="s">
        <v>198</v>
      </c>
      <c r="C139" s="1" t="n">
        <v>115</v>
      </c>
      <c r="D139" s="3"/>
      <c r="E139" s="3" t="s">
        <v>199</v>
      </c>
      <c r="F139" s="3" t="str">
        <f aca="false">IFERROR(__xludf.dummyfunction("GOOGLETRANSLATE(B139,""en"",""ar"")"),"مجانا")</f>
        <v>مجانا</v>
      </c>
      <c r="G139" s="3" t="n">
        <v>0</v>
      </c>
      <c r="H139" s="3" t="n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1"/>
      <c r="B140" s="2" t="s">
        <v>200</v>
      </c>
      <c r="C140" s="1" t="n">
        <v>114</v>
      </c>
      <c r="D140" s="3"/>
      <c r="E140" s="3" t="s">
        <v>42</v>
      </c>
      <c r="F140" s="3" t="str">
        <f aca="false">IFERROR(__xludf.dummyfunction("GOOGLETRANSLATE(B140,""en"",""ar"")"),"جدا")</f>
        <v>جدا</v>
      </c>
      <c r="G140" s="3" t="n">
        <v>0</v>
      </c>
      <c r="H140" s="3" t="n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1"/>
      <c r="B141" s="2" t="s">
        <v>201</v>
      </c>
      <c r="C141" s="1" t="n">
        <v>113</v>
      </c>
      <c r="D141" s="3"/>
      <c r="E141" s="3" t="s">
        <v>74</v>
      </c>
      <c r="F141" s="3" t="str">
        <f aca="false">IFERROR(__xludf.dummyfunction("GOOGLETRANSLATE(B141,""en"",""ar"")"),"كان")</f>
        <v>كان</v>
      </c>
      <c r="G141" s="3" t="n">
        <v>0</v>
      </c>
      <c r="H141" s="3" t="n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1"/>
      <c r="B142" s="2" t="s">
        <v>202</v>
      </c>
      <c r="C142" s="1" t="n">
        <v>113</v>
      </c>
      <c r="D142" s="3"/>
      <c r="E142" s="3" t="s">
        <v>203</v>
      </c>
      <c r="F142" s="3" t="str">
        <f aca="false">IFERROR(__xludf.dummyfunction("GOOGLETRANSLATE(B142,""en"",""ar"")"),"أهلا")</f>
        <v>أهلا</v>
      </c>
      <c r="G142" s="3" t="n">
        <v>0</v>
      </c>
      <c r="H142" s="3" t="n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1"/>
      <c r="B143" s="2" t="s">
        <v>204</v>
      </c>
      <c r="C143" s="1" t="n">
        <v>113</v>
      </c>
      <c r="D143" s="3"/>
      <c r="E143" s="3" t="s">
        <v>205</v>
      </c>
      <c r="F143" s="3" t="str">
        <f aca="false">IFERROR(__xludf.dummyfunction("GOOGLETRANSLATE(B143,""en"",""ar"")"),"حق")</f>
        <v>حق</v>
      </c>
      <c r="G143" s="3" t="n">
        <v>0</v>
      </c>
      <c r="H143" s="3" t="n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1"/>
      <c r="B144" s="2" t="s">
        <v>206</v>
      </c>
      <c r="C144" s="1" t="n">
        <v>112</v>
      </c>
      <c r="D144" s="3"/>
      <c r="E144" s="3" t="s">
        <v>207</v>
      </c>
      <c r="F144" s="3" t="str">
        <f aca="false">IFERROR(__xludf.dummyfunction("GOOGLETRANSLATE(B144,""en"",""ar"")"),"ما يزال")</f>
        <v>ما يزال</v>
      </c>
      <c r="G144" s="3" t="n">
        <v>0</v>
      </c>
      <c r="H144" s="3" t="n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1"/>
      <c r="B145" s="5" t="s">
        <v>208</v>
      </c>
      <c r="C145" s="1" t="n">
        <v>111</v>
      </c>
      <c r="D145" s="3"/>
      <c r="E145" s="3" t="s">
        <v>79</v>
      </c>
      <c r="F145" s="3" t="str">
        <f aca="false">IFERROR(__xludf.dummyfunction("GOOGLETRANSLATE(B145,""en"",""ar"")"),"النظام")</f>
        <v>النظام</v>
      </c>
      <c r="G145" s="3" t="n">
        <v>0</v>
      </c>
      <c r="H145" s="3" t="n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1"/>
      <c r="B146" s="2" t="s">
        <v>209</v>
      </c>
      <c r="C146" s="1" t="n">
        <v>110</v>
      </c>
      <c r="D146" s="3"/>
      <c r="E146" s="3" t="s">
        <v>210</v>
      </c>
      <c r="F146" s="3" t="str">
        <f aca="false">IFERROR(__xludf.dummyfunction("GOOGLETRANSLATE(B146,""en"",""ar"")"),"بعد")</f>
        <v>بعد</v>
      </c>
      <c r="G146" s="3" t="n">
        <v>0</v>
      </c>
      <c r="H146" s="3" t="n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1"/>
      <c r="B147" s="2" t="s">
        <v>211</v>
      </c>
      <c r="C147" s="1" t="n">
        <v>109</v>
      </c>
      <c r="D147" s="3"/>
      <c r="E147" s="3" t="s">
        <v>79</v>
      </c>
      <c r="F147" s="3" t="str">
        <f aca="false">IFERROR(__xludf.dummyfunction("GOOGLETRANSLATE(B147,""en"",""ar"")"),"الحاسوب")</f>
        <v>الحاسوب</v>
      </c>
      <c r="G147" s="3" t="n">
        <v>0</v>
      </c>
      <c r="H147" s="3" t="n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1"/>
      <c r="B148" s="2" t="s">
        <v>212</v>
      </c>
      <c r="C148" s="1" t="n">
        <v>108</v>
      </c>
      <c r="D148" s="3"/>
      <c r="E148" s="3" t="s">
        <v>205</v>
      </c>
      <c r="F148" s="3" t="str">
        <f aca="false">IFERROR(__xludf.dummyfunction("GOOGLETRANSLATE(B148,""en"",""ar"")"),"أفضل")</f>
        <v>أفضل</v>
      </c>
      <c r="G148" s="3" t="n">
        <v>0</v>
      </c>
      <c r="H148" s="3" t="n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1"/>
      <c r="B149" s="5" t="s">
        <v>213</v>
      </c>
      <c r="C149" s="1" t="n">
        <v>108</v>
      </c>
      <c r="D149" s="3"/>
      <c r="E149" s="3" t="s">
        <v>214</v>
      </c>
      <c r="F149" s="3" t="str">
        <f aca="false">IFERROR(__xludf.dummyfunction("GOOGLETRANSLATE(B149,""en"",""ar"")"),"يجب")</f>
        <v>يجب</v>
      </c>
      <c r="G149" s="3" t="n">
        <v>0</v>
      </c>
      <c r="H149" s="3" t="n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1"/>
      <c r="B150" s="2" t="s">
        <v>215</v>
      </c>
      <c r="C150" s="1" t="n">
        <v>107</v>
      </c>
      <c r="D150" s="3"/>
      <c r="E150" s="3" t="s">
        <v>30</v>
      </c>
      <c r="F150" s="3" t="str">
        <f aca="false">IFERROR(__xludf.dummyfunction("GOOGLETRANSLATE(B150,""en"",""ar"")"),"ها")</f>
        <v>ها</v>
      </c>
      <c r="G150" s="3" t="n">
        <v>0</v>
      </c>
      <c r="H150" s="3" t="n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1"/>
      <c r="B151" s="2" t="s">
        <v>216</v>
      </c>
      <c r="C151" s="1" t="n">
        <v>107</v>
      </c>
      <c r="D151" s="3"/>
      <c r="E151" s="3" t="s">
        <v>148</v>
      </c>
      <c r="F151" s="3" t="str">
        <f aca="false">IFERROR(__xludf.dummyfunction("GOOGLETRANSLATE(B151,""en"",""ar"")"),"الحياة")</f>
        <v>الحياة</v>
      </c>
      <c r="G151" s="3" t="n">
        <v>0</v>
      </c>
      <c r="H151" s="3" t="n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1"/>
      <c r="B152" s="2" t="s">
        <v>217</v>
      </c>
      <c r="C152" s="1" t="n">
        <v>107</v>
      </c>
      <c r="D152" s="3"/>
      <c r="E152" s="3" t="s">
        <v>173</v>
      </c>
      <c r="F152" s="3" t="str">
        <f aca="false">IFERROR(__xludf.dummyfunction("GOOGLETRANSLATE(B152,""en"",""ar"")"),"حيث")</f>
        <v>حيث</v>
      </c>
      <c r="G152" s="3" t="n">
        <v>0</v>
      </c>
      <c r="H152" s="3" t="n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1"/>
      <c r="B153" s="5" t="s">
        <v>218</v>
      </c>
      <c r="C153" s="1" t="n">
        <v>105</v>
      </c>
      <c r="D153" s="3"/>
      <c r="E153" s="3" t="s">
        <v>74</v>
      </c>
      <c r="F153" s="3" t="str">
        <f aca="false">IFERROR(__xludf.dummyfunction("GOOGLETRANSLATE(B153,""en"",""ar"")"),"يستطع")</f>
        <v>يستطع</v>
      </c>
      <c r="G153" s="3" t="n">
        <v>0</v>
      </c>
      <c r="H153" s="3" t="n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1"/>
      <c r="B154" s="2" t="s">
        <v>219</v>
      </c>
      <c r="C154" s="1" t="n">
        <v>104</v>
      </c>
      <c r="D154" s="3"/>
      <c r="E154" s="3" t="s">
        <v>12</v>
      </c>
      <c r="F154" s="3" t="str">
        <f aca="false">IFERROR(__xludf.dummyfunction("GOOGLETRANSLATE(B154,""en"",""ar"")"),"يفعل")</f>
        <v>يفعل</v>
      </c>
      <c r="G154" s="3" t="n">
        <v>0</v>
      </c>
      <c r="H154" s="3" t="n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1"/>
      <c r="B155" s="2" t="s">
        <v>220</v>
      </c>
      <c r="C155" s="1" t="n">
        <v>104</v>
      </c>
      <c r="D155" s="3"/>
      <c r="E155" s="3" t="s">
        <v>221</v>
      </c>
      <c r="F155" s="3" t="str">
        <f aca="false">IFERROR(__xludf.dummyfunction("GOOGLETRANSLATE(B155,""en"",""ar"")"),"الآن")</f>
        <v>الآن</v>
      </c>
      <c r="G155" s="3" t="n">
        <v>0</v>
      </c>
      <c r="H155" s="3" t="n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1"/>
      <c r="B156" s="5" t="s">
        <v>222</v>
      </c>
      <c r="C156" s="1" t="n">
        <v>103</v>
      </c>
      <c r="D156" s="3"/>
      <c r="E156" s="3" t="s">
        <v>32</v>
      </c>
      <c r="F156" s="3" t="str">
        <f aca="false">IFERROR(__xludf.dummyfunction("GOOGLETRANSLATE(B156,""en"",""ar"")"),"أثناء")</f>
        <v>أثناء</v>
      </c>
      <c r="G156" s="3" t="n">
        <v>0</v>
      </c>
      <c r="H156" s="3" t="n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1"/>
      <c r="B157" s="2" t="s">
        <v>223</v>
      </c>
      <c r="C157" s="1" t="n">
        <v>102</v>
      </c>
      <c r="D157" s="3"/>
      <c r="E157" s="3" t="s">
        <v>12</v>
      </c>
      <c r="F157" s="3" t="str">
        <f aca="false">IFERROR(__xludf.dummyfunction("GOOGLETRANSLATE(B157,""en"",""ar"")"),"يتعلم")</f>
        <v>يتعلم</v>
      </c>
      <c r="G157" s="3" t="n">
        <v>0</v>
      </c>
      <c r="H157" s="3" t="n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1"/>
      <c r="B158" s="5" t="s">
        <v>224</v>
      </c>
      <c r="C158" s="1" t="n">
        <v>101</v>
      </c>
      <c r="D158" s="3"/>
      <c r="E158" s="3" t="s">
        <v>225</v>
      </c>
      <c r="F158" s="3" t="str">
        <f aca="false">IFERROR(__xludf.dummyfunction("GOOGLETRANSLATE(B158,""en"",""ar"")"),"حول")</f>
        <v>حول</v>
      </c>
      <c r="G158" s="3" t="n">
        <v>0</v>
      </c>
      <c r="H158" s="3" t="n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1"/>
      <c r="B159" s="5" t="s">
        <v>226</v>
      </c>
      <c r="C159" s="1" t="n">
        <v>101</v>
      </c>
      <c r="D159" s="3"/>
      <c r="E159" s="3" t="s">
        <v>42</v>
      </c>
      <c r="F159" s="3" t="str">
        <f aca="false">IFERROR(__xludf.dummyfunction("GOOGLETRANSLATE(B159,""en"",""ar"")"),"مستخدم")</f>
        <v>مستخدم</v>
      </c>
      <c r="G159" s="3" t="n">
        <v>0</v>
      </c>
      <c r="H159" s="3" t="n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1"/>
      <c r="B160" s="5" t="s">
        <v>227</v>
      </c>
      <c r="C160" s="1" t="n">
        <v>99</v>
      </c>
      <c r="D160" s="3"/>
      <c r="E160" s="3" t="s">
        <v>119</v>
      </c>
      <c r="F160" s="3" t="str">
        <f aca="false">IFERROR(__xludf.dummyfunction("GOOGLETRANSLATE(B160,""en"",""ar"")"),"شكل")</f>
        <v>شكل</v>
      </c>
      <c r="G160" s="3" t="n">
        <v>0</v>
      </c>
      <c r="H160" s="3" t="n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1"/>
      <c r="B161" s="5" t="s">
        <v>228</v>
      </c>
      <c r="C161" s="1" t="n">
        <v>99</v>
      </c>
      <c r="D161" s="3"/>
      <c r="E161" s="3" t="s">
        <v>79</v>
      </c>
      <c r="F161" s="3" t="str">
        <f aca="false">IFERROR(__xludf.dummyfunction("GOOGLETRANSLATE(B161,""en"",""ar"")"),"لحم")</f>
        <v>لحم</v>
      </c>
      <c r="G161" s="3" t="n">
        <v>0</v>
      </c>
      <c r="H161" s="3" t="n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1"/>
      <c r="B162" s="2" t="s">
        <v>229</v>
      </c>
      <c r="C162" s="1" t="n">
        <v>98</v>
      </c>
      <c r="D162" s="3"/>
      <c r="E162" s="3" t="s">
        <v>119</v>
      </c>
      <c r="F162" s="3" t="str">
        <f aca="false">IFERROR(__xludf.dummyfunction("GOOGLETRANSLATE(B162,""en"",""ar"")"),"هواء")</f>
        <v>هواء</v>
      </c>
      <c r="G162" s="3" t="n">
        <v>0</v>
      </c>
      <c r="H162" s="3" t="n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1"/>
      <c r="B163" s="2" t="s">
        <v>230</v>
      </c>
      <c r="C163" s="1" t="n">
        <v>98</v>
      </c>
      <c r="D163" s="3"/>
      <c r="E163" s="3" t="s">
        <v>148</v>
      </c>
      <c r="F163" s="3" t="str">
        <f aca="false">IFERROR(__xludf.dummyfunction("GOOGLETRANSLATE(B163,""en"",""ar"")"),"يوم")</f>
        <v>يوم</v>
      </c>
      <c r="G163" s="3" t="n">
        <v>0</v>
      </c>
      <c r="H163" s="3" t="n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1"/>
      <c r="B164" s="2" t="s">
        <v>231</v>
      </c>
      <c r="C164" s="1" t="n">
        <v>98</v>
      </c>
      <c r="D164" s="3"/>
      <c r="E164" s="3" t="s">
        <v>119</v>
      </c>
      <c r="F164" s="3" t="str">
        <f aca="false">IFERROR(__xludf.dummyfunction("GOOGLETRANSLATE(B164,""en"",""ar"")"),"مكان")</f>
        <v>مكان</v>
      </c>
      <c r="G164" s="3" t="n">
        <v>0</v>
      </c>
      <c r="H164" s="3" t="n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1"/>
      <c r="B165" s="2" t="s">
        <v>232</v>
      </c>
      <c r="C165" s="1" t="n">
        <v>97</v>
      </c>
      <c r="D165" s="3"/>
      <c r="E165" s="3" t="s">
        <v>12</v>
      </c>
      <c r="F165" s="3" t="str">
        <f aca="false">IFERROR(__xludf.dummyfunction("GOOGLETRANSLATE(B165,""en"",""ar"")"),"أصبح")</f>
        <v>أصبح</v>
      </c>
      <c r="G165" s="3" t="n">
        <v>0</v>
      </c>
      <c r="H165" s="3" t="n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1"/>
      <c r="B166" s="2" t="s">
        <v>233</v>
      </c>
      <c r="C166" s="1" t="n">
        <v>97</v>
      </c>
      <c r="D166" s="3"/>
      <c r="E166" s="3" t="s">
        <v>119</v>
      </c>
      <c r="F166" s="3" t="str">
        <f aca="false">IFERROR(__xludf.dummyfunction("GOOGLETRANSLATE(B166,""en"",""ar"")"),"عدد")</f>
        <v>عدد</v>
      </c>
      <c r="G166" s="3" t="n">
        <v>0</v>
      </c>
      <c r="H166" s="3" t="n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1"/>
      <c r="B167" s="2" t="s">
        <v>234</v>
      </c>
      <c r="C167" s="1" t="n">
        <v>97</v>
      </c>
      <c r="D167" s="3"/>
      <c r="E167" s="3" t="s">
        <v>235</v>
      </c>
      <c r="F167" s="3" t="str">
        <f aca="false">IFERROR(__xludf.dummyfunction("GOOGLETRANSLATE(B167,""en"",""ar"")"),"عام")</f>
        <v>عام</v>
      </c>
      <c r="G167" s="3" t="n">
        <v>0</v>
      </c>
      <c r="H167" s="3" t="n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1"/>
      <c r="B168" s="2" t="s">
        <v>236</v>
      </c>
      <c r="C168" s="1" t="n">
        <v>97</v>
      </c>
      <c r="D168" s="3"/>
      <c r="E168" s="3" t="s">
        <v>94</v>
      </c>
      <c r="F168" s="3" t="str">
        <f aca="false">IFERROR(__xludf.dummyfunction("GOOGLETRANSLATE(B168,""en"",""ar"")"),"اقرأ")</f>
        <v>اقرأ</v>
      </c>
      <c r="G168" s="3" t="n">
        <v>0</v>
      </c>
      <c r="H168" s="3" t="n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1"/>
      <c r="B169" s="5" t="s">
        <v>237</v>
      </c>
      <c r="C169" s="1" t="n">
        <v>96</v>
      </c>
      <c r="D169" s="3"/>
      <c r="E169" s="3" t="s">
        <v>94</v>
      </c>
      <c r="F169" s="3" t="str">
        <f aca="false">IFERROR(__xludf.dummyfunction("GOOGLETRANSLATE(B169,""en"",""ar"")"),"احتفظ")</f>
        <v>احتفظ</v>
      </c>
      <c r="G169" s="3" t="n">
        <v>0</v>
      </c>
      <c r="H169" s="3" t="n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1"/>
      <c r="B170" s="2" t="s">
        <v>238</v>
      </c>
      <c r="C170" s="1" t="n">
        <v>96</v>
      </c>
      <c r="D170" s="3"/>
      <c r="E170" s="3" t="s">
        <v>239</v>
      </c>
      <c r="F170" s="3" t="str">
        <f aca="false">IFERROR(__xludf.dummyfunction("GOOGLETRANSLATE(B170,""en"",""ar"")"),"جزء")</f>
        <v>جزء</v>
      </c>
      <c r="G170" s="3" t="n">
        <v>0</v>
      </c>
      <c r="H170" s="3" t="n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1"/>
      <c r="B171" s="2" t="s">
        <v>240</v>
      </c>
      <c r="C171" s="1" t="n">
        <v>96</v>
      </c>
      <c r="D171" s="3"/>
      <c r="E171" s="3" t="s">
        <v>94</v>
      </c>
      <c r="F171" s="3" t="str">
        <f aca="false">IFERROR(__xludf.dummyfunction("GOOGLETRANSLATE(B171,""en"",""ar"")"),"بداية")</f>
        <v>بداية</v>
      </c>
      <c r="G171" s="3" t="n">
        <v>0</v>
      </c>
      <c r="H171" s="3" t="n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1"/>
      <c r="B172" s="2" t="s">
        <v>241</v>
      </c>
      <c r="C172" s="1" t="n">
        <v>96</v>
      </c>
      <c r="D172" s="3"/>
      <c r="E172" s="3" t="s">
        <v>79</v>
      </c>
      <c r="F172" s="3" t="str">
        <f aca="false">IFERROR(__xludf.dummyfunction("GOOGLETRANSLATE(B172,""en"",""ar"")"),"عام")</f>
        <v>عام</v>
      </c>
      <c r="G172" s="3" t="n">
        <v>0</v>
      </c>
      <c r="H172" s="3" t="n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1"/>
      <c r="B173" s="2" t="s">
        <v>242</v>
      </c>
      <c r="C173" s="1" t="n">
        <v>95</v>
      </c>
      <c r="D173" s="3"/>
      <c r="E173" s="3" t="s">
        <v>112</v>
      </c>
      <c r="F173" s="3" t="str">
        <f aca="false">IFERROR(__xludf.dummyfunction("GOOGLETRANSLATE(B173,""en"",""ar"")"),"كل")</f>
        <v>كل</v>
      </c>
      <c r="G173" s="3" t="n">
        <v>0</v>
      </c>
      <c r="H173" s="3" t="n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1"/>
      <c r="B174" s="2" t="s">
        <v>243</v>
      </c>
      <c r="C174" s="1" t="n">
        <v>95</v>
      </c>
      <c r="D174" s="3"/>
      <c r="E174" s="3" t="s">
        <v>128</v>
      </c>
      <c r="F174" s="3" t="str">
        <f aca="false">IFERROR(__xludf.dummyfunction("GOOGLETRANSLATE(B174,""en"",""ar"")"),"مجال")</f>
        <v>مجال</v>
      </c>
      <c r="G174" s="3" t="n">
        <v>0</v>
      </c>
      <c r="H174" s="3" t="n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1"/>
      <c r="B175" s="2" t="s">
        <v>244</v>
      </c>
      <c r="C175" s="1" t="n">
        <v>95</v>
      </c>
      <c r="D175" s="3"/>
      <c r="E175" s="3" t="s">
        <v>112</v>
      </c>
      <c r="F175" s="3" t="str">
        <f aca="false">IFERROR(__xludf.dummyfunction("GOOGLETRANSLATE(B175,""en"",""ar"")"),"كبير")</f>
        <v>كبير</v>
      </c>
      <c r="G175" s="3" t="n">
        <v>0</v>
      </c>
      <c r="H175" s="3" t="n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1"/>
      <c r="B176" s="2" t="s">
        <v>245</v>
      </c>
      <c r="C176" s="1" t="n">
        <v>95</v>
      </c>
      <c r="D176" s="3"/>
      <c r="E176" s="3" t="s">
        <v>64</v>
      </c>
      <c r="F176" s="3" t="str">
        <f aca="false">IFERROR(__xludf.dummyfunction("GOOGLETRANSLATE(B176,""en"",""ar"")"),"بمجرد")</f>
        <v>بمجرد</v>
      </c>
      <c r="G176" s="3" t="n">
        <v>0</v>
      </c>
      <c r="H176" s="3" t="n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1"/>
      <c r="B177" s="5" t="s">
        <v>246</v>
      </c>
      <c r="C177" s="1" t="n">
        <v>94</v>
      </c>
      <c r="D177" s="3"/>
      <c r="E177" s="3" t="s">
        <v>112</v>
      </c>
      <c r="F177" s="3" t="str">
        <f aca="false">IFERROR(__xludf.dummyfunction("GOOGLETRANSLATE(B177,""en"",""ar"")"),"متوفرة")</f>
        <v>متوفرة</v>
      </c>
      <c r="G177" s="3" t="n">
        <v>0</v>
      </c>
      <c r="H177" s="3" t="n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1"/>
      <c r="B178" s="2" t="s">
        <v>247</v>
      </c>
      <c r="C178" s="1" t="n">
        <v>94</v>
      </c>
      <c r="D178" s="3"/>
      <c r="E178" s="3" t="s">
        <v>248</v>
      </c>
      <c r="F178" s="3" t="str">
        <f aca="false">IFERROR(__xludf.dummyfunction("GOOGLETRANSLATE(B178,""en"",""ar"")"),"تحت")</f>
        <v>تحت</v>
      </c>
      <c r="G178" s="3" t="n">
        <v>0</v>
      </c>
      <c r="H178" s="3" t="n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1"/>
      <c r="B179" s="2" t="s">
        <v>249</v>
      </c>
      <c r="C179" s="1" t="n">
        <v>93</v>
      </c>
      <c r="D179" s="3"/>
      <c r="E179" s="3" t="s">
        <v>94</v>
      </c>
      <c r="F179" s="3" t="str">
        <f aca="false">IFERROR(__xludf.dummyfunction("GOOGLETRANSLATE(B179,""en"",""ar"")"),"يعطى")</f>
        <v>يعطى</v>
      </c>
      <c r="G179" s="3" t="n">
        <v>0</v>
      </c>
      <c r="H179" s="3" t="n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1"/>
      <c r="B180" s="2" t="s">
        <v>250</v>
      </c>
      <c r="C180" s="1" t="n">
        <v>92</v>
      </c>
      <c r="D180" s="3"/>
      <c r="E180" s="3" t="s">
        <v>119</v>
      </c>
      <c r="F180" s="3" t="str">
        <f aca="false">IFERROR(__xludf.dummyfunction("GOOGLETRANSLATE(B180,""en"",""ar"")"),"سمكة")</f>
        <v>سمكة</v>
      </c>
      <c r="G180" s="3" t="n">
        <v>0</v>
      </c>
      <c r="H180" s="3" t="n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1"/>
      <c r="B181" s="5" t="s">
        <v>251</v>
      </c>
      <c r="C181" s="1" t="n">
        <v>92</v>
      </c>
      <c r="D181" s="3"/>
      <c r="E181" s="3" t="s">
        <v>235</v>
      </c>
      <c r="F181" s="3" t="str">
        <f aca="false">IFERROR(__xludf.dummyfunction("GOOGLETRANSLATE(B181,""en"",""ar"")"),"بشري")</f>
        <v>بشري</v>
      </c>
      <c r="G181" s="3" t="n">
        <v>0</v>
      </c>
      <c r="H181" s="3" t="n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1"/>
      <c r="B182" s="5" t="s">
        <v>252</v>
      </c>
      <c r="C182" s="1" t="n">
        <v>91</v>
      </c>
      <c r="D182" s="3"/>
      <c r="E182" s="3" t="s">
        <v>50</v>
      </c>
      <c r="F182" s="3" t="str">
        <f aca="false">IFERROR(__xludf.dummyfunction("GOOGLETRANSLATE(B182,""en"",""ar"")"),"على حد سواء")</f>
        <v>على حد سواء</v>
      </c>
      <c r="G182" s="3" t="n">
        <v>0</v>
      </c>
      <c r="H182" s="3" t="n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1"/>
      <c r="B183" s="5" t="s">
        <v>253</v>
      </c>
      <c r="C183" s="1" t="n">
        <v>90</v>
      </c>
      <c r="D183" s="3"/>
      <c r="E183" s="3" t="s">
        <v>235</v>
      </c>
      <c r="F183" s="3" t="str">
        <f aca="false">IFERROR(__xludf.dummyfunction("GOOGLETRANSLATE(B183,""en"",""ar"")"),"محلي")</f>
        <v>محلي</v>
      </c>
      <c r="G183" s="3" t="n">
        <v>0</v>
      </c>
      <c r="H183" s="3" t="n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1"/>
      <c r="B184" s="5" t="s">
        <v>254</v>
      </c>
      <c r="C184" s="1" t="n">
        <v>90</v>
      </c>
      <c r="D184" s="3"/>
      <c r="E184" s="3" t="s">
        <v>50</v>
      </c>
      <c r="F184" s="3" t="str">
        <f aca="false">IFERROR(__xludf.dummyfunction("GOOGLETRANSLATE(B184,""en"",""ar"")"),"بالتأكيد")</f>
        <v>بالتأكيد</v>
      </c>
      <c r="G184" s="3" t="n">
        <v>0</v>
      </c>
      <c r="H184" s="3" t="n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1"/>
      <c r="B185" s="2" t="s">
        <v>255</v>
      </c>
      <c r="C185" s="1" t="n">
        <v>89</v>
      </c>
      <c r="D185" s="3"/>
      <c r="E185" s="3" t="s">
        <v>30</v>
      </c>
      <c r="F185" s="3" t="str">
        <f aca="false">IFERROR(__xludf.dummyfunction("GOOGLETRANSLATE(B185,""en"",""ar"")"),"شيئا ما")</f>
        <v>شيئا ما</v>
      </c>
      <c r="G185" s="3" t="n">
        <v>0</v>
      </c>
      <c r="H185" s="3" t="n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1"/>
      <c r="B186" s="5" t="s">
        <v>256</v>
      </c>
      <c r="C186" s="1" t="n">
        <v>89</v>
      </c>
      <c r="D186" s="3"/>
      <c r="E186" s="3" t="s">
        <v>173</v>
      </c>
      <c r="F186" s="3" t="str">
        <f aca="false">IFERROR(__xludf.dummyfunction("GOOGLETRANSLATE(B186,""en"",""ar"")"),"بدون")</f>
        <v>بدون</v>
      </c>
      <c r="G186" s="3" t="n">
        <v>0</v>
      </c>
      <c r="H186" s="3" t="n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1"/>
      <c r="B187" s="2" t="s">
        <v>257</v>
      </c>
      <c r="C187" s="1" t="n">
        <v>88</v>
      </c>
      <c r="D187" s="3"/>
      <c r="E187" s="3" t="s">
        <v>12</v>
      </c>
      <c r="F187" s="3" t="str">
        <f aca="false">IFERROR(__xludf.dummyfunction("GOOGLETRANSLATE(B187,""en"",""ar"")"),"تأتي")</f>
        <v>تأتي</v>
      </c>
      <c r="G187" s="3" t="n">
        <v>0</v>
      </c>
      <c r="H187" s="3" t="n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1"/>
      <c r="B188" s="2" t="s">
        <v>258</v>
      </c>
      <c r="C188" s="1" t="n">
        <v>88</v>
      </c>
      <c r="D188" s="3"/>
      <c r="E188" s="3" t="s">
        <v>30</v>
      </c>
      <c r="F188" s="3" t="str">
        <f aca="false">IFERROR(__xludf.dummyfunction("GOOGLETRANSLATE(B188,""en"",""ar"")"),"أنا")</f>
        <v>أنا</v>
      </c>
      <c r="G188" s="3" t="n">
        <v>0</v>
      </c>
      <c r="H188" s="3" t="n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1"/>
      <c r="B189" s="2" t="s">
        <v>259</v>
      </c>
      <c r="C189" s="1" t="n">
        <v>86</v>
      </c>
      <c r="D189" s="3"/>
      <c r="E189" s="3" t="s">
        <v>260</v>
      </c>
      <c r="F189" s="3" t="str">
        <f aca="false">IFERROR(__xludf.dummyfunction("GOOGLETRANSLATE(B189,""en"",""ar"")"),"عودة")</f>
        <v>عودة</v>
      </c>
      <c r="G189" s="3" t="n">
        <v>0</v>
      </c>
      <c r="H189" s="3" t="n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1" t="n">
        <v>32</v>
      </c>
      <c r="B190" s="5" t="s">
        <v>261</v>
      </c>
      <c r="C190" s="1" t="n">
        <v>86</v>
      </c>
      <c r="D190" s="3"/>
      <c r="E190" s="3" t="s">
        <v>205</v>
      </c>
      <c r="F190" s="3" t="str">
        <f aca="false">IFERROR(__xludf.dummyfunction("GOOGLETRANSLATE(B190,""en"",""ar"")"),"أفضل")</f>
        <v>أفضل</v>
      </c>
      <c r="G190" s="3" t="n">
        <v>0</v>
      </c>
      <c r="H190" s="3" t="n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1"/>
      <c r="B191" s="2" t="s">
        <v>262</v>
      </c>
      <c r="C191" s="1" t="n">
        <v>85</v>
      </c>
      <c r="D191" s="3"/>
      <c r="E191" s="3" t="s">
        <v>235</v>
      </c>
      <c r="F191" s="3" t="str">
        <f aca="false">IFERROR(__xludf.dummyfunction("GOOGLETRANSLATE(B191,""en"",""ar"")"),"جنرال لواء")</f>
        <v>جنرال لواء</v>
      </c>
      <c r="G191" s="3" t="n">
        <v>0</v>
      </c>
      <c r="H191" s="3" t="n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1"/>
      <c r="B192" s="2" t="s">
        <v>263</v>
      </c>
      <c r="C192" s="1" t="n">
        <v>85</v>
      </c>
      <c r="D192" s="3"/>
      <c r="E192" s="3" t="s">
        <v>119</v>
      </c>
      <c r="F192" s="3" t="str">
        <f aca="false">IFERROR(__xludf.dummyfunction("GOOGLETRANSLATE(B192,""en"",""ar"")"),"عملية")</f>
        <v>عملية</v>
      </c>
      <c r="G192" s="3" t="n">
        <v>0</v>
      </c>
      <c r="H192" s="3" t="n">
        <v>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1"/>
      <c r="B193" s="2" t="s">
        <v>264</v>
      </c>
      <c r="C193" s="1" t="n">
        <v>85</v>
      </c>
      <c r="D193" s="3"/>
      <c r="E193" s="3" t="s">
        <v>14</v>
      </c>
      <c r="F193" s="3" t="str">
        <f aca="false">IFERROR(__xludf.dummyfunction("GOOGLETRANSLATE(B193,""en"",""ar"")"),"هي")</f>
        <v>هي</v>
      </c>
      <c r="G193" s="3" t="n">
        <v>0</v>
      </c>
      <c r="H193" s="3" t="n">
        <v>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1"/>
      <c r="B194" s="5" t="s">
        <v>265</v>
      </c>
      <c r="C194" s="1" t="n">
        <v>84</v>
      </c>
      <c r="D194" s="3"/>
      <c r="E194" s="3" t="s">
        <v>119</v>
      </c>
      <c r="F194" s="3" t="str">
        <f aca="false">IFERROR(__xludf.dummyfunction("GOOGLETRANSLATE(B194,""en"",""ar"")"),"الحرارة")</f>
        <v>الحرارة</v>
      </c>
      <c r="G194" s="3" t="n">
        <v>0</v>
      </c>
      <c r="H194" s="3" t="n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1"/>
      <c r="B195" s="2" t="s">
        <v>266</v>
      </c>
      <c r="C195" s="1" t="n">
        <v>84</v>
      </c>
      <c r="D195" s="3"/>
      <c r="E195" s="3" t="s">
        <v>79</v>
      </c>
      <c r="F195" s="3" t="str">
        <f aca="false">IFERROR(__xludf.dummyfunction("GOOGLETRANSLATE(B195,""en"",""ar"")"),"شكرا")</f>
        <v>شكرا</v>
      </c>
      <c r="G195" s="3" t="n">
        <v>0</v>
      </c>
      <c r="H195" s="3" t="n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1"/>
      <c r="B196" s="5" t="s">
        <v>267</v>
      </c>
      <c r="C196" s="1" t="n">
        <v>83</v>
      </c>
      <c r="D196" s="3"/>
      <c r="E196" s="3" t="s">
        <v>235</v>
      </c>
      <c r="F196" s="3" t="str">
        <f aca="false">IFERROR(__xludf.dummyfunction("GOOGLETRANSLATE(B196,""en"",""ar"")"),"محدد")</f>
        <v>محدد</v>
      </c>
      <c r="G196" s="3" t="n">
        <v>0</v>
      </c>
      <c r="H196" s="3" t="n">
        <v>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1"/>
      <c r="B197" s="5" t="s">
        <v>268</v>
      </c>
      <c r="C197" s="1" t="n">
        <v>82</v>
      </c>
      <c r="D197" s="3"/>
      <c r="E197" s="3" t="s">
        <v>269</v>
      </c>
      <c r="F197" s="3" t="str">
        <f aca="false">IFERROR(__xludf.dummyfunction("GOOGLETRANSLATE(B197,""en"",""ar"")"),"كافية")</f>
        <v>كافية</v>
      </c>
      <c r="G197" s="3" t="n">
        <v>0</v>
      </c>
      <c r="H197" s="3" t="n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1"/>
      <c r="B198" s="5" t="s">
        <v>270</v>
      </c>
      <c r="C198" s="1" t="n">
        <v>82</v>
      </c>
      <c r="D198" s="3"/>
      <c r="E198" s="3" t="s">
        <v>207</v>
      </c>
      <c r="F198" s="3" t="str">
        <f aca="false">IFERROR(__xludf.dummyfunction("GOOGLETRANSLATE(B198,""en"",""ar"")"),"طويل")</f>
        <v>طويل</v>
      </c>
      <c r="G198" s="3" t="n">
        <v>0</v>
      </c>
      <c r="H198" s="3" t="n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1"/>
      <c r="B199" s="2" t="s">
        <v>271</v>
      </c>
      <c r="C199" s="1" t="n">
        <v>82</v>
      </c>
      <c r="D199" s="3"/>
      <c r="E199" s="3" t="s">
        <v>272</v>
      </c>
      <c r="F199" s="3" t="str">
        <f aca="false">IFERROR(__xludf.dummyfunction("GOOGLETRANSLATE(B199,""en"",""ar"")"),"كثيرا")</f>
        <v>كثيرا</v>
      </c>
      <c r="G199" s="3" t="n">
        <v>0</v>
      </c>
      <c r="H199" s="3" t="n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1"/>
      <c r="B200" s="2" t="s">
        <v>273</v>
      </c>
      <c r="C200" s="1" t="n">
        <v>81</v>
      </c>
      <c r="D200" s="3"/>
      <c r="E200" s="3" t="s">
        <v>119</v>
      </c>
      <c r="F200" s="3" t="str">
        <f aca="false">IFERROR(__xludf.dummyfunction("GOOGLETRANSLATE(B200,""en"",""ar"")"),"يسلم")</f>
        <v>يسلم</v>
      </c>
      <c r="G200" s="3" t="n">
        <v>0</v>
      </c>
      <c r="H200" s="3" t="n">
        <v>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1"/>
      <c r="B201" s="2" t="s">
        <v>274</v>
      </c>
      <c r="C201" s="1" t="n">
        <v>81</v>
      </c>
      <c r="D201" s="3"/>
      <c r="E201" s="3" t="s">
        <v>112</v>
      </c>
      <c r="F201" s="3" t="str">
        <f aca="false">IFERROR(__xludf.dummyfunction("GOOGLETRANSLATE(B201,""en"",""ar"")"),"جمع")</f>
        <v>جمع</v>
      </c>
      <c r="G201" s="3" t="n">
        <v>0</v>
      </c>
      <c r="H201" s="3" t="n">
        <v>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1"/>
      <c r="B202" s="2" t="s">
        <v>275</v>
      </c>
      <c r="C202" s="1" t="n">
        <v>81</v>
      </c>
      <c r="D202" s="3"/>
      <c r="E202" s="3" t="s">
        <v>50</v>
      </c>
      <c r="F202" s="3" t="str">
        <f aca="false">IFERROR(__xludf.dummyfunction("GOOGLETRANSLATE(B202,""en"",""ar"")"),"صغير")</f>
        <v>صغير</v>
      </c>
      <c r="G202" s="3" t="n">
        <v>0</v>
      </c>
      <c r="H202" s="3" t="n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1"/>
      <c r="B203" s="5" t="s">
        <v>276</v>
      </c>
      <c r="C203" s="1" t="n">
        <v>81</v>
      </c>
      <c r="D203" s="3"/>
      <c r="E203" s="3" t="s">
        <v>277</v>
      </c>
      <c r="F203" s="3" t="str">
        <f aca="false">IFERROR(__xludf.dummyfunction("GOOGLETRANSLATE(B203,""en"",""ar"")"),"رغم ذلك")</f>
        <v>رغم ذلك</v>
      </c>
      <c r="G203" s="3" t="n">
        <v>0</v>
      </c>
      <c r="H203" s="3" t="n">
        <v>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1"/>
      <c r="B204" s="2" t="s">
        <v>278</v>
      </c>
      <c r="C204" s="1" t="n">
        <v>80</v>
      </c>
      <c r="D204" s="3"/>
      <c r="E204" s="3" t="s">
        <v>119</v>
      </c>
      <c r="F204" s="3" t="str">
        <f aca="false">IFERROR(__xludf.dummyfunction("GOOGLETRANSLATE(B204,""en"",""ar"")"),"خبرة")</f>
        <v>خبرة</v>
      </c>
      <c r="G204" s="3" t="n">
        <v>0</v>
      </c>
      <c r="H204" s="3" t="n">
        <v>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1"/>
      <c r="B205" s="2" t="s">
        <v>279</v>
      </c>
      <c r="C205" s="1" t="n">
        <v>80</v>
      </c>
      <c r="D205" s="3"/>
      <c r="E205" s="3" t="s">
        <v>12</v>
      </c>
      <c r="F205" s="3" t="str">
        <f aca="false">IFERROR(__xludf.dummyfunction("GOOGLETRANSLATE(B205,""en"",""ar"")"),"تضمن")</f>
        <v>تضمن</v>
      </c>
      <c r="G205" s="3" t="n">
        <v>0</v>
      </c>
      <c r="H205" s="3" t="n">
        <v>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1"/>
      <c r="B206" s="2" t="s">
        <v>280</v>
      </c>
      <c r="C206" s="1" t="n">
        <v>80</v>
      </c>
      <c r="D206" s="3"/>
      <c r="E206" s="3" t="s">
        <v>119</v>
      </c>
      <c r="F206" s="3" t="str">
        <f aca="false">IFERROR(__xludf.dummyfunction("GOOGLETRANSLATE(B206,""en"",""ar"")"),"مهنة")</f>
        <v>مهنة</v>
      </c>
      <c r="G206" s="3" t="n">
        <v>0</v>
      </c>
      <c r="H206" s="3" t="n">
        <v>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1"/>
      <c r="B207" s="2" t="s">
        <v>281</v>
      </c>
      <c r="C207" s="1" t="n">
        <v>80</v>
      </c>
      <c r="D207" s="3"/>
      <c r="E207" s="3" t="s">
        <v>79</v>
      </c>
      <c r="F207" s="3" t="str">
        <f aca="false">IFERROR(__xludf.dummyfunction("GOOGLETRANSLATE(B207,""en"",""ar"")"),"موسيقى")</f>
        <v>موسيقى</v>
      </c>
      <c r="G207" s="3" t="n">
        <v>0</v>
      </c>
      <c r="H207" s="3" t="n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1"/>
      <c r="B208" s="2" t="s">
        <v>282</v>
      </c>
      <c r="C208" s="1" t="n">
        <v>80</v>
      </c>
      <c r="D208" s="3"/>
      <c r="E208" s="3" t="s">
        <v>79</v>
      </c>
      <c r="F208" s="3" t="str">
        <f aca="false">IFERROR(__xludf.dummyfunction("GOOGLETRANSLATE(B208,""en"",""ar"")"),"شخص")</f>
        <v>شخص</v>
      </c>
      <c r="G208" s="3" t="n">
        <v>0</v>
      </c>
      <c r="H208" s="3" t="n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1"/>
      <c r="B209" s="2" t="s">
        <v>283</v>
      </c>
      <c r="C209" s="1" t="n">
        <v>79</v>
      </c>
      <c r="D209" s="3"/>
      <c r="E209" s="3" t="s">
        <v>42</v>
      </c>
      <c r="F209" s="3" t="str">
        <f aca="false">IFERROR(__xludf.dummyfunction("GOOGLETRANSLATE(B209,""en"",""ar"")"),"حقا")</f>
        <v>حقا</v>
      </c>
      <c r="G209" s="3" t="n">
        <v>0</v>
      </c>
      <c r="H209" s="3" t="n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1"/>
      <c r="B210" s="5" t="s">
        <v>284</v>
      </c>
      <c r="C210" s="1" t="n">
        <v>78</v>
      </c>
      <c r="D210" s="3"/>
      <c r="E210" s="3" t="s">
        <v>5</v>
      </c>
      <c r="F210" s="3" t="str">
        <f aca="false">IFERROR(__xludf.dummyfunction("GOOGLETRANSLATE(B210,""en"",""ar"")"),"برغم من")</f>
        <v>برغم من</v>
      </c>
      <c r="G210" s="3" t="n">
        <v>0</v>
      </c>
      <c r="H210" s="3" t="n">
        <v>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1"/>
      <c r="B211" s="2" t="s">
        <v>285</v>
      </c>
      <c r="C211" s="1" t="n">
        <v>78</v>
      </c>
      <c r="D211" s="3"/>
      <c r="E211" s="3" t="s">
        <v>12</v>
      </c>
      <c r="F211" s="3" t="str">
        <f aca="false">IFERROR(__xludf.dummyfunction("GOOGLETRANSLATE(B211,""en"",""ar"")"),"شكر")</f>
        <v>شكر</v>
      </c>
      <c r="G211" s="3" t="n">
        <v>0</v>
      </c>
      <c r="H211" s="3" t="n">
        <v>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1"/>
      <c r="B212" s="2" t="s">
        <v>286</v>
      </c>
      <c r="C212" s="1" t="n">
        <v>77</v>
      </c>
      <c r="D212" s="3"/>
      <c r="E212" s="3" t="s">
        <v>119</v>
      </c>
      <c r="F212" s="3" t="str">
        <f aca="false">IFERROR(__xludf.dummyfunction("GOOGLETRANSLATE(B212,""en"",""ar"")"),"الكتاب")</f>
        <v>الكتاب</v>
      </c>
      <c r="G212" s="3" t="n">
        <v>0</v>
      </c>
      <c r="H212" s="3" t="n">
        <v>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1"/>
      <c r="B213" s="5" t="s">
        <v>287</v>
      </c>
      <c r="C213" s="1" t="n">
        <v>77</v>
      </c>
      <c r="D213" s="3"/>
      <c r="E213" s="3" t="s">
        <v>42</v>
      </c>
      <c r="F213" s="3" t="str">
        <f aca="false">IFERROR(__xludf.dummyfunction("GOOGLETRANSLATE(B213,""en"",""ar"")"),"مبكرا")</f>
        <v>مبكرا</v>
      </c>
      <c r="G213" s="3" t="n">
        <v>0</v>
      </c>
      <c r="H213" s="3" t="n">
        <v>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1"/>
      <c r="B214" s="2" t="s">
        <v>288</v>
      </c>
      <c r="C214" s="1" t="n">
        <v>77</v>
      </c>
      <c r="D214" s="3"/>
      <c r="E214" s="3" t="s">
        <v>79</v>
      </c>
      <c r="F214" s="3" t="str">
        <f aca="false">IFERROR(__xludf.dummyfunction("GOOGLETRANSLATE(B214,""en"",""ar"")"),"قراءة")</f>
        <v>قراءة</v>
      </c>
      <c r="G214" s="3" t="n">
        <v>0</v>
      </c>
      <c r="H214" s="3" t="n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1"/>
      <c r="B215" s="2" t="s">
        <v>289</v>
      </c>
      <c r="C215" s="1" t="n">
        <v>76</v>
      </c>
      <c r="D215" s="3"/>
      <c r="E215" s="3" t="s">
        <v>119</v>
      </c>
      <c r="F215" s="3" t="str">
        <f aca="false">IFERROR(__xludf.dummyfunction("GOOGLETRANSLATE(B215,""en"",""ar"")"),"نهاية")</f>
        <v>نهاية</v>
      </c>
      <c r="G215" s="3" t="n">
        <v>0</v>
      </c>
      <c r="H215" s="3" t="n">
        <v>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1"/>
      <c r="B216" s="2" t="s">
        <v>290</v>
      </c>
      <c r="C216" s="1" t="n">
        <v>76</v>
      </c>
      <c r="D216" s="3"/>
      <c r="E216" s="3" t="s">
        <v>79</v>
      </c>
      <c r="F216" s="3" t="str">
        <f aca="false">IFERROR(__xludf.dummyfunction("GOOGLETRANSLATE(B216,""en"",""ar"")"),"طريقة")</f>
        <v>طريقة</v>
      </c>
      <c r="G216" s="3" t="n">
        <v>0</v>
      </c>
      <c r="H216" s="3" t="n">
        <v>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1" t="n">
        <v>40</v>
      </c>
      <c r="B217" s="5" t="s">
        <v>291</v>
      </c>
      <c r="C217" s="1" t="n">
        <v>76</v>
      </c>
      <c r="D217" s="3"/>
      <c r="E217" s="3" t="s">
        <v>42</v>
      </c>
      <c r="F217" s="3" t="str">
        <f aca="false">IFERROR(__xludf.dummyfunction("GOOGLETRANSLATE(B217,""en"",""ar"")"),"مطلقا")</f>
        <v>مطلقا</v>
      </c>
      <c r="G217" s="3" t="n">
        <v>0</v>
      </c>
      <c r="H217" s="3" t="n">
        <v>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1"/>
      <c r="B218" s="5" t="s">
        <v>292</v>
      </c>
      <c r="C218" s="1" t="n">
        <v>75</v>
      </c>
      <c r="D218" s="3"/>
      <c r="E218" s="3" t="s">
        <v>293</v>
      </c>
      <c r="F218" s="3" t="str">
        <f aca="false">IFERROR(__xludf.dummyfunction("GOOGLETRANSLATE(B218,""en"",""ar"")"),"أقل")</f>
        <v>أقل</v>
      </c>
      <c r="G218" s="3" t="n">
        <v>0</v>
      </c>
      <c r="H218" s="3" t="n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1"/>
      <c r="B219" s="2" t="s">
        <v>294</v>
      </c>
      <c r="C219" s="1" t="n">
        <v>75</v>
      </c>
      <c r="D219" s="3"/>
      <c r="E219" s="3" t="s">
        <v>94</v>
      </c>
      <c r="F219" s="3" t="str">
        <f aca="false">IFERROR(__xludf.dummyfunction("GOOGLETRANSLATE(B219,""en"",""ar"")"),"لعب")</f>
        <v>لعب</v>
      </c>
      <c r="G219" s="3" t="n">
        <v>0</v>
      </c>
      <c r="H219" s="3" t="n">
        <v>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1"/>
      <c r="B220" s="5" t="s">
        <v>295</v>
      </c>
      <c r="C220" s="1" t="n">
        <v>74</v>
      </c>
      <c r="D220" s="3"/>
      <c r="E220" s="3" t="s">
        <v>112</v>
      </c>
      <c r="F220" s="3" t="str">
        <f aca="false">IFERROR(__xludf.dummyfunction("GOOGLETRANSLATE(B220,""en"",""ar"")"),"قادر")</f>
        <v>قادر</v>
      </c>
      <c r="G220" s="3" t="n">
        <v>0</v>
      </c>
      <c r="H220" s="3" t="n">
        <v>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1"/>
      <c r="B221" s="2" t="s">
        <v>296</v>
      </c>
      <c r="C221" s="1" t="n">
        <v>74</v>
      </c>
      <c r="D221" s="3"/>
      <c r="E221" s="3" t="s">
        <v>79</v>
      </c>
      <c r="F221" s="3" t="str">
        <f aca="false">IFERROR(__xludf.dummyfunction("GOOGLETRANSLATE(B221,""en"",""ar"")"),"البيانات")</f>
        <v>البيانات</v>
      </c>
      <c r="G221" s="3" t="n">
        <v>0</v>
      </c>
      <c r="H221" s="3" t="n">
        <v>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1"/>
      <c r="B222" s="2" t="s">
        <v>297</v>
      </c>
      <c r="C222" s="1" t="n">
        <v>74</v>
      </c>
      <c r="D222" s="3"/>
      <c r="E222" s="3" t="s">
        <v>94</v>
      </c>
      <c r="F222" s="3" t="str">
        <f aca="false">IFERROR(__xludf.dummyfunction("GOOGLETRANSLATE(B222,""en"",""ar"")"),"شعور")</f>
        <v>شعور</v>
      </c>
      <c r="G222" s="3" t="n">
        <v>0</v>
      </c>
      <c r="H222" s="3" t="n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1"/>
      <c r="B223" s="2" t="s">
        <v>298</v>
      </c>
      <c r="C223" s="1" t="n">
        <v>74</v>
      </c>
      <c r="D223" s="3"/>
      <c r="E223" s="3" t="s">
        <v>77</v>
      </c>
      <c r="F223" s="3" t="str">
        <f aca="false">IFERROR(__xludf.dummyfunction("GOOGLETRANSLATE(B223,""en"",""ar"")"),"عالي")</f>
        <v>عالي</v>
      </c>
      <c r="G223" s="3" t="n">
        <v>0</v>
      </c>
      <c r="H223" s="3" t="n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1"/>
      <c r="B224" s="5" t="s">
        <v>299</v>
      </c>
      <c r="C224" s="1" t="n">
        <v>74</v>
      </c>
      <c r="D224" s="3"/>
      <c r="E224" s="3" t="s">
        <v>98</v>
      </c>
      <c r="F224" s="3" t="str">
        <f aca="false">IFERROR(__xludf.dummyfunction("GOOGLETRANSLATE(B224,""en"",""ar"")"),"إيقاف")</f>
        <v>إيقاف</v>
      </c>
      <c r="G224" s="3" t="n">
        <v>0</v>
      </c>
      <c r="H224" s="3" t="n">
        <v>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1"/>
      <c r="B225" s="2" t="s">
        <v>300</v>
      </c>
      <c r="C225" s="1" t="n">
        <v>74</v>
      </c>
      <c r="D225" s="3"/>
      <c r="E225" s="3" t="s">
        <v>119</v>
      </c>
      <c r="F225" s="3" t="str">
        <f aca="false">IFERROR(__xludf.dummyfunction("GOOGLETRANSLATE(B225,""en"",""ar"")"),"هدف")</f>
        <v>هدف</v>
      </c>
      <c r="G225" s="3" t="n">
        <v>0</v>
      </c>
      <c r="H225" s="3" t="n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1"/>
      <c r="B226" s="2" t="s">
        <v>301</v>
      </c>
      <c r="C226" s="1" t="n">
        <v>74</v>
      </c>
      <c r="D226" s="3"/>
      <c r="E226" s="3" t="s">
        <v>119</v>
      </c>
      <c r="F226" s="3" t="str">
        <f aca="false">IFERROR(__xludf.dummyfunction("GOOGLETRANSLATE(B226,""en"",""ar"")"),"يكتب")</f>
        <v>يكتب</v>
      </c>
      <c r="G226" s="3" t="n">
        <v>0</v>
      </c>
      <c r="H226" s="3" t="n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1"/>
      <c r="B227" s="5" t="s">
        <v>302</v>
      </c>
      <c r="C227" s="1" t="n">
        <v>74</v>
      </c>
      <c r="D227" s="3"/>
      <c r="E227" s="3" t="s">
        <v>5</v>
      </c>
      <c r="F227" s="3" t="str">
        <f aca="false">IFERROR(__xludf.dummyfunction("GOOGLETRANSLATE(B227,""en"",""ar"")"),"سواء، ما اذا")</f>
        <v>سواء، ما اذا</v>
      </c>
      <c r="G227" s="3" t="n">
        <v>0</v>
      </c>
      <c r="H227" s="3" t="n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1"/>
      <c r="B228" s="2" t="s">
        <v>303</v>
      </c>
      <c r="C228" s="1" t="n">
        <v>73</v>
      </c>
      <c r="D228" s="3"/>
      <c r="E228" s="3" t="s">
        <v>79</v>
      </c>
      <c r="F228" s="3" t="str">
        <f aca="false">IFERROR(__xludf.dummyfunction("GOOGLETRANSLATE(B228,""en"",""ar"")"),"غذاء")</f>
        <v>غذاء</v>
      </c>
      <c r="G228" s="3" t="n">
        <v>0</v>
      </c>
      <c r="H228" s="3" t="n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1"/>
      <c r="B229" s="2" t="s">
        <v>304</v>
      </c>
      <c r="C229" s="1" t="n">
        <v>73</v>
      </c>
      <c r="D229" s="3"/>
      <c r="E229" s="3" t="s">
        <v>79</v>
      </c>
      <c r="F229" s="3" t="str">
        <f aca="false">IFERROR(__xludf.dummyfunction("GOOGLETRANSLATE(B229,""en"",""ar"")"),"فهم")</f>
        <v>فهم</v>
      </c>
      <c r="G229" s="3" t="n">
        <v>0</v>
      </c>
      <c r="H229" s="3" t="n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1"/>
      <c r="B230" s="2" t="s">
        <v>305</v>
      </c>
      <c r="C230" s="1" t="n">
        <v>72</v>
      </c>
      <c r="D230" s="3"/>
      <c r="E230" s="3" t="s">
        <v>306</v>
      </c>
      <c r="F230" s="3" t="str">
        <f aca="false">IFERROR(__xludf.dummyfunction("GOOGLETRANSLATE(B230,""en"",""ar"")"),"هنا")</f>
        <v>هنا</v>
      </c>
      <c r="G230" s="3" t="n">
        <v>0</v>
      </c>
      <c r="H230" s="3" t="n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1"/>
      <c r="B231" s="2" t="s">
        <v>307</v>
      </c>
      <c r="C231" s="1" t="n">
        <v>72</v>
      </c>
      <c r="D231" s="3"/>
      <c r="E231" s="3" t="s">
        <v>308</v>
      </c>
      <c r="F231" s="3" t="str">
        <f aca="false">IFERROR(__xludf.dummyfunction("GOOGLETRANSLATE(B231,""en"",""ar"")"),"الصفحة الرئيسية")</f>
        <v>الصفحة الرئيسية</v>
      </c>
      <c r="G231" s="3" t="n">
        <v>0</v>
      </c>
      <c r="H231" s="3" t="n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1"/>
      <c r="B232" s="5" t="s">
        <v>309</v>
      </c>
      <c r="C232" s="1" t="n">
        <v>71</v>
      </c>
      <c r="D232" s="3"/>
      <c r="E232" s="3" t="s">
        <v>187</v>
      </c>
      <c r="F232" s="3" t="str">
        <f aca="false">IFERROR(__xludf.dummyfunction("GOOGLETRANSLATE(B232,""en"",""ar"")"),"تأكيد")</f>
        <v>تأكيد</v>
      </c>
      <c r="G232" s="3" t="n">
        <v>0</v>
      </c>
      <c r="H232" s="3" t="n">
        <v>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1"/>
      <c r="B233" s="2" t="s">
        <v>310</v>
      </c>
      <c r="C233" s="1" t="n">
        <v>71</v>
      </c>
      <c r="D233" s="3"/>
      <c r="E233" s="3" t="s">
        <v>148</v>
      </c>
      <c r="F233" s="3" t="str">
        <f aca="false">IFERROR(__xludf.dummyfunction("GOOGLETRANSLATE(B233,""en"",""ar"")"),"اقتصاد")</f>
        <v>اقتصاد</v>
      </c>
      <c r="G233" s="3" t="n">
        <v>0</v>
      </c>
      <c r="H233" s="3" t="n">
        <v>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1"/>
      <c r="B234" s="2" t="s">
        <v>311</v>
      </c>
      <c r="C234" s="1" t="n">
        <v>71</v>
      </c>
      <c r="D234" s="3"/>
      <c r="E234" s="3" t="s">
        <v>50</v>
      </c>
      <c r="F234" s="3" t="str">
        <f aca="false">IFERROR(__xludf.dummyfunction("GOOGLETRANSLATE(B234,""en"",""ar"")"),"القليل")</f>
        <v>القليل</v>
      </c>
      <c r="G234" s="3" t="n">
        <v>0</v>
      </c>
      <c r="H234" s="3" t="n">
        <v>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1"/>
      <c r="B235" s="2" t="s">
        <v>312</v>
      </c>
      <c r="C235" s="1" t="n">
        <v>71</v>
      </c>
      <c r="D235" s="3"/>
      <c r="E235" s="3" t="s">
        <v>79</v>
      </c>
      <c r="F235" s="3" t="str">
        <f aca="false">IFERROR(__xludf.dummyfunction("GOOGLETRANSLATE(B235,""en"",""ar"")"),"نظرية")</f>
        <v>نظرية</v>
      </c>
      <c r="G235" s="3" t="n">
        <v>0</v>
      </c>
      <c r="H235" s="3" t="n">
        <v>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1"/>
      <c r="B236" s="2" t="s">
        <v>313</v>
      </c>
      <c r="C236" s="1" t="n">
        <v>71</v>
      </c>
      <c r="D236" s="3"/>
      <c r="E236" s="3" t="s">
        <v>314</v>
      </c>
      <c r="F236" s="3" t="str">
        <f aca="false">IFERROR(__xludf.dummyfunction("GOOGLETRANSLATE(B236,""en"",""ar"")"),"هذه الليلة")</f>
        <v>هذه الليلة</v>
      </c>
      <c r="G236" s="3" t="n">
        <v>0</v>
      </c>
      <c r="H236" s="3" t="n">
        <v>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1"/>
      <c r="B237" s="2" t="s">
        <v>315</v>
      </c>
      <c r="C237" s="1" t="n">
        <v>70</v>
      </c>
      <c r="D237" s="3"/>
      <c r="E237" s="3" t="s">
        <v>79</v>
      </c>
      <c r="F237" s="3" t="str">
        <f aca="false">IFERROR(__xludf.dummyfunction("GOOGLETRANSLATE(B237,""en"",""ar"")"),"قانون")</f>
        <v>قانون</v>
      </c>
      <c r="G237" s="3" t="n">
        <v>0</v>
      </c>
      <c r="H237" s="3" t="n">
        <v>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1"/>
      <c r="B238" s="5" t="s">
        <v>316</v>
      </c>
      <c r="C238" s="1" t="n">
        <v>70</v>
      </c>
      <c r="D238" s="3"/>
      <c r="E238" s="3" t="s">
        <v>94</v>
      </c>
      <c r="F238" s="3" t="str">
        <f aca="false">IFERROR(__xludf.dummyfunction("GOOGLETRANSLATE(B238,""en"",""ar"")"),"وضع")</f>
        <v>وضع</v>
      </c>
      <c r="G238" s="3" t="n">
        <v>0</v>
      </c>
      <c r="H238" s="3" t="n">
        <v>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1"/>
      <c r="B239" s="5" t="s">
        <v>317</v>
      </c>
      <c r="C239" s="1" t="n">
        <v>70</v>
      </c>
      <c r="D239" s="3"/>
      <c r="E239" s="3" t="s">
        <v>28</v>
      </c>
      <c r="F239" s="3" t="str">
        <f aca="false">IFERROR(__xludf.dummyfunction("GOOGLETRANSLATE(B239,""en"",""ar"")"),"تحت")</f>
        <v>تحت</v>
      </c>
      <c r="G239" s="3" t="n">
        <v>0</v>
      </c>
      <c r="H239" s="3" t="n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1"/>
      <c r="B240" s="2" t="s">
        <v>318</v>
      </c>
      <c r="C240" s="1" t="n">
        <v>70</v>
      </c>
      <c r="D240" s="3"/>
      <c r="E240" s="3" t="s">
        <v>119</v>
      </c>
      <c r="F240" s="3" t="str">
        <f aca="false">IFERROR(__xludf.dummyfunction("GOOGLETRANSLATE(B240,""en"",""ar"")"),"القيمة")</f>
        <v>القيمة</v>
      </c>
      <c r="G240" s="3" t="n">
        <v>0</v>
      </c>
      <c r="H240" s="3" t="n">
        <v>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1"/>
      <c r="B241" s="2" t="s">
        <v>319</v>
      </c>
      <c r="C241" s="1" t="n">
        <v>69</v>
      </c>
      <c r="D241" s="3"/>
      <c r="E241" s="3" t="s">
        <v>42</v>
      </c>
      <c r="F241" s="3" t="str">
        <f aca="false">IFERROR(__xludf.dummyfunction("GOOGLETRANSLATE(B241,""en"",""ar"")"),"دائما")</f>
        <v>دائما</v>
      </c>
      <c r="G241" s="3" t="n">
        <v>0</v>
      </c>
      <c r="H241" s="3" t="n">
        <v>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1"/>
      <c r="B242" s="2" t="s">
        <v>320</v>
      </c>
      <c r="C242" s="1" t="n">
        <v>69</v>
      </c>
      <c r="D242" s="3"/>
      <c r="E242" s="3" t="s">
        <v>119</v>
      </c>
      <c r="F242" s="3" t="str">
        <f aca="false">IFERROR(__xludf.dummyfunction("GOOGLETRANSLATE(B242,""en"",""ar"")"),"الجسم")</f>
        <v>الجسم</v>
      </c>
      <c r="G242" s="3" t="n">
        <v>0</v>
      </c>
      <c r="H242" s="3" t="n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1"/>
      <c r="B243" s="5" t="s">
        <v>321</v>
      </c>
      <c r="C243" s="1" t="n">
        <v>69</v>
      </c>
      <c r="D243" s="3"/>
      <c r="E243" s="3" t="s">
        <v>235</v>
      </c>
      <c r="F243" s="3" t="str">
        <f aca="false">IFERROR(__xludf.dummyfunction("GOOGLETRANSLATE(B243,""en"",""ar"")"),"مشترك")</f>
        <v>مشترك</v>
      </c>
      <c r="G243" s="3" t="n">
        <v>0</v>
      </c>
      <c r="H243" s="3" t="n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1"/>
      <c r="B244" s="5" t="s">
        <v>322</v>
      </c>
      <c r="C244" s="1" t="n">
        <v>69</v>
      </c>
      <c r="D244" s="3"/>
      <c r="E244" s="3" t="s">
        <v>119</v>
      </c>
      <c r="F244" s="3" t="str">
        <f aca="false">IFERROR(__xludf.dummyfunction("GOOGLETRANSLATE(B244,""en"",""ar"")"),"سوق")</f>
        <v>سوق</v>
      </c>
      <c r="G244" s="3" t="n">
        <v>0</v>
      </c>
      <c r="H244" s="3" t="n">
        <v>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1"/>
      <c r="B245" s="2" t="s">
        <v>323</v>
      </c>
      <c r="C245" s="1" t="n">
        <v>69</v>
      </c>
      <c r="D245" s="3"/>
      <c r="E245" s="3" t="s">
        <v>324</v>
      </c>
      <c r="F245" s="3" t="str">
        <f aca="false">IFERROR(__xludf.dummyfunction("GOOGLETRANSLATE(B245,""en"",""ar"")"),"جلس")</f>
        <v>جلس</v>
      </c>
      <c r="G245" s="3" t="n">
        <v>0</v>
      </c>
      <c r="H245" s="3" t="n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1"/>
      <c r="B246" s="2" t="s">
        <v>325</v>
      </c>
      <c r="C246" s="1" t="n">
        <v>68</v>
      </c>
      <c r="D246" s="3"/>
      <c r="E246" s="3" t="s">
        <v>79</v>
      </c>
      <c r="F246" s="3" t="str">
        <f aca="false">IFERROR(__xludf.dummyfunction("GOOGLETRANSLATE(B246,""en"",""ar"")"),"الطير")</f>
        <v>الطير</v>
      </c>
      <c r="G246" s="3" t="n">
        <v>0</v>
      </c>
      <c r="H246" s="3" t="n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1"/>
      <c r="B247" s="2" t="s">
        <v>326</v>
      </c>
      <c r="C247" s="1" t="n">
        <v>68</v>
      </c>
      <c r="D247" s="3"/>
      <c r="E247" s="3" t="s">
        <v>119</v>
      </c>
      <c r="F247" s="3" t="str">
        <f aca="false">IFERROR(__xludf.dummyfunction("GOOGLETRANSLATE(B247,""en"",""ar"")"),"يرشد")</f>
        <v>يرشد</v>
      </c>
      <c r="G247" s="3" t="n">
        <v>0</v>
      </c>
      <c r="H247" s="3" t="n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1" t="n">
        <v>50</v>
      </c>
      <c r="B248" s="5" t="s">
        <v>327</v>
      </c>
      <c r="C248" s="1" t="n">
        <v>68</v>
      </c>
      <c r="D248" s="3"/>
      <c r="E248" s="3" t="s">
        <v>12</v>
      </c>
      <c r="F248" s="3" t="str">
        <f aca="false">IFERROR(__xludf.dummyfunction("GOOGLETRANSLATE(B248,""en"",""ar"")"),"تزود")</f>
        <v>تزود</v>
      </c>
      <c r="G248" s="3" t="n">
        <v>0</v>
      </c>
      <c r="H248" s="3" t="n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1"/>
      <c r="B249" s="2" t="s">
        <v>328</v>
      </c>
      <c r="C249" s="1" t="n">
        <v>67</v>
      </c>
      <c r="D249" s="3"/>
      <c r="E249" s="3" t="s">
        <v>94</v>
      </c>
      <c r="F249" s="3" t="str">
        <f aca="false">IFERROR(__xludf.dummyfunction("GOOGLETRANSLATE(B249,""en"",""ar"")"),"يتغيرون")</f>
        <v>يتغيرون</v>
      </c>
      <c r="G249" s="3" t="n">
        <v>0</v>
      </c>
      <c r="H249" s="3" t="n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1"/>
      <c r="B250" s="5" t="s">
        <v>329</v>
      </c>
      <c r="C250" s="1" t="n">
        <v>67</v>
      </c>
      <c r="D250" s="3"/>
      <c r="E250" s="3" t="s">
        <v>119</v>
      </c>
      <c r="F250" s="3" t="str">
        <f aca="false">IFERROR(__xludf.dummyfunction("GOOGLETRANSLATE(B250,""en"",""ar"")"),"فائدة")</f>
        <v>فائدة</v>
      </c>
      <c r="G250" s="3" t="n">
        <v>0</v>
      </c>
      <c r="H250" s="3" t="n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1"/>
      <c r="B251" s="5" t="s">
        <v>330</v>
      </c>
      <c r="C251" s="1" t="n">
        <v>67</v>
      </c>
      <c r="D251" s="3"/>
      <c r="E251" s="3" t="s">
        <v>79</v>
      </c>
      <c r="F251" s="3" t="str">
        <f aca="false">IFERROR(__xludf.dummyfunction("GOOGLETRANSLATE(B251,""en"",""ar"")"),"المؤلفات")</f>
        <v>المؤلفات</v>
      </c>
      <c r="G251" s="3" t="n">
        <v>0</v>
      </c>
      <c r="H251" s="3" t="n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1"/>
      <c r="B252" s="2" t="s">
        <v>331</v>
      </c>
      <c r="C252" s="1" t="n">
        <v>67</v>
      </c>
      <c r="D252" s="3"/>
      <c r="E252" s="3" t="s">
        <v>42</v>
      </c>
      <c r="F252" s="3" t="str">
        <f aca="false">IFERROR(__xludf.dummyfunction("GOOGLETRANSLATE(B252,""en"",""ar"")"),"بعض الأحيان")</f>
        <v>بعض الأحيان</v>
      </c>
      <c r="G252" s="3" t="n">
        <v>0</v>
      </c>
      <c r="H252" s="3" t="n">
        <v>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1"/>
      <c r="B253" s="2" t="s">
        <v>332</v>
      </c>
      <c r="C253" s="1" t="n">
        <v>66</v>
      </c>
      <c r="D253" s="3"/>
      <c r="E253" s="3" t="s">
        <v>79</v>
      </c>
      <c r="F253" s="3" t="str">
        <f aca="false">IFERROR(__xludf.dummyfunction("GOOGLETRANSLATE(B253,""en"",""ar"")"),"مشكلة")</f>
        <v>مشكلة</v>
      </c>
      <c r="G253" s="3" t="n">
        <v>0</v>
      </c>
      <c r="H253" s="3" t="n">
        <v>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1"/>
      <c r="B254" s="2" t="s">
        <v>333</v>
      </c>
      <c r="C254" s="1" t="n">
        <v>66</v>
      </c>
      <c r="D254" s="3"/>
      <c r="E254" s="3" t="s">
        <v>334</v>
      </c>
      <c r="F254" s="3" t="str">
        <f aca="false">IFERROR(__xludf.dummyfunction("GOOGLETRANSLATE(B254,""en"",""ar"")"),"قل")</f>
        <v>قل</v>
      </c>
      <c r="G254" s="3" t="n">
        <v>0</v>
      </c>
      <c r="H254" s="3" t="n">
        <v>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1"/>
      <c r="B255" s="2" t="s">
        <v>335</v>
      </c>
      <c r="C255" s="1" t="n">
        <v>64</v>
      </c>
      <c r="D255" s="3"/>
      <c r="E255" s="3" t="s">
        <v>336</v>
      </c>
      <c r="F255" s="3" t="str">
        <f aca="false">IFERROR(__xludf.dummyfunction("GOOGLETRANSLATE(B255,""en"",""ar"")"),"التالي")</f>
        <v>التالي</v>
      </c>
      <c r="G255" s="3" t="n">
        <v>0</v>
      </c>
      <c r="H255" s="3" t="n">
        <v>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1"/>
      <c r="B256" s="2" t="s">
        <v>337</v>
      </c>
      <c r="C256" s="1" t="n">
        <v>63</v>
      </c>
      <c r="D256" s="3"/>
      <c r="E256" s="3" t="s">
        <v>12</v>
      </c>
      <c r="F256" s="3" t="str">
        <f aca="false">IFERROR(__xludf.dummyfunction("GOOGLETRANSLATE(B256,""en"",""ar"")"),"خلق")</f>
        <v>خلق</v>
      </c>
      <c r="G256" s="3" t="n">
        <v>0</v>
      </c>
      <c r="H256" s="3" t="n">
        <v>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1"/>
      <c r="B257" s="2" t="s">
        <v>338</v>
      </c>
      <c r="C257" s="1" t="n">
        <v>63</v>
      </c>
      <c r="D257" s="3"/>
      <c r="E257" s="3" t="s">
        <v>235</v>
      </c>
      <c r="F257" s="3" t="str">
        <f aca="false">IFERROR(__xludf.dummyfunction("GOOGLETRANSLATE(B257,""en"",""ar"")"),"بسيط")</f>
        <v>بسيط</v>
      </c>
      <c r="G257" s="3" t="n">
        <v>0</v>
      </c>
      <c r="H257" s="3" t="n">
        <v>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1"/>
      <c r="B258" s="2" t="s">
        <v>339</v>
      </c>
      <c r="C258" s="1" t="n">
        <v>63</v>
      </c>
      <c r="D258" s="3"/>
      <c r="E258" s="3" t="s">
        <v>79</v>
      </c>
      <c r="F258" s="3" t="str">
        <f aca="false">IFERROR(__xludf.dummyfunction("GOOGLETRANSLATE(B258,""en"",""ar"")"),"البرمجيات")</f>
        <v>البرمجيات</v>
      </c>
      <c r="G258" s="3" t="n">
        <v>0</v>
      </c>
      <c r="H258" s="3" t="n">
        <v>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1"/>
      <c r="B259" s="5" t="s">
        <v>340</v>
      </c>
      <c r="C259" s="1" t="n">
        <v>63</v>
      </c>
      <c r="D259" s="3"/>
      <c r="E259" s="3" t="s">
        <v>119</v>
      </c>
      <c r="F259" s="3" t="str">
        <f aca="false">IFERROR(__xludf.dummyfunction("GOOGLETRANSLATE(B259,""en"",""ar"")"),"حالة")</f>
        <v>حالة</v>
      </c>
      <c r="G259" s="3" t="n">
        <v>0</v>
      </c>
      <c r="H259" s="3" t="n">
        <v>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1"/>
      <c r="B260" s="2" t="s">
        <v>341</v>
      </c>
      <c r="C260" s="1" t="n">
        <v>63</v>
      </c>
      <c r="D260" s="3"/>
      <c r="E260" s="3" t="s">
        <v>42</v>
      </c>
      <c r="F260" s="3" t="str">
        <f aca="false">IFERROR(__xludf.dummyfunction("GOOGLETRANSLATE(B260,""en"",""ar"")"),"سويا")</f>
        <v>سويا</v>
      </c>
      <c r="G260" s="3" t="n">
        <v>0</v>
      </c>
      <c r="H260" s="3" t="n">
        <v>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1"/>
      <c r="B261" s="5" t="s">
        <v>342</v>
      </c>
      <c r="C261" s="1" t="n">
        <v>62</v>
      </c>
      <c r="D261" s="3"/>
      <c r="E261" s="3" t="s">
        <v>79</v>
      </c>
      <c r="F261" s="3" t="str">
        <f aca="false">IFERROR(__xludf.dummyfunction("GOOGLETRANSLATE(B261,""en"",""ar"")"),"يتحكم")</f>
        <v>يتحكم</v>
      </c>
      <c r="G261" s="3" t="n">
        <v>0</v>
      </c>
      <c r="H261" s="3" t="n">
        <v>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1" t="n">
        <v>55</v>
      </c>
      <c r="B262" s="5" t="s">
        <v>343</v>
      </c>
      <c r="C262" s="1" t="n">
        <v>62</v>
      </c>
      <c r="D262" s="3"/>
      <c r="E262" s="3" t="s">
        <v>79</v>
      </c>
      <c r="F262" s="3" t="str">
        <f aca="false">IFERROR(__xludf.dummyfunction("GOOGLETRANSLATE(B262,""en"",""ar"")"),"المعرفه")</f>
        <v>المعرفه</v>
      </c>
      <c r="G262" s="3" t="n">
        <v>0</v>
      </c>
      <c r="H262" s="3" t="n">
        <v>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1"/>
      <c r="B263" s="2" t="s">
        <v>344</v>
      </c>
      <c r="C263" s="1" t="n">
        <v>62</v>
      </c>
      <c r="D263" s="3"/>
      <c r="E263" s="3" t="s">
        <v>79</v>
      </c>
      <c r="F263" s="3" t="str">
        <f aca="false">IFERROR(__xludf.dummyfunction("GOOGLETRANSLATE(B263,""en"",""ar"")"),"قوة")</f>
        <v>قوة</v>
      </c>
      <c r="G263" s="3" t="n">
        <v>0</v>
      </c>
      <c r="H263" s="3" t="n">
        <v>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1"/>
      <c r="B264" s="2" t="s">
        <v>345</v>
      </c>
      <c r="C264" s="1" t="n">
        <v>62</v>
      </c>
      <c r="D264" s="3"/>
      <c r="E264" s="3" t="s">
        <v>119</v>
      </c>
      <c r="F264" s="3" t="str">
        <f aca="false">IFERROR(__xludf.dummyfunction("GOOGLETRANSLATE(B264,""en"",""ar"")"),"مذياع")</f>
        <v>مذياع</v>
      </c>
      <c r="G264" s="3" t="n">
        <v>0</v>
      </c>
      <c r="H264" s="3" t="n">
        <v>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1"/>
      <c r="B265" s="5" t="s">
        <v>346</v>
      </c>
      <c r="C265" s="1" t="n">
        <v>61</v>
      </c>
      <c r="D265" s="3"/>
      <c r="E265" s="3" t="s">
        <v>79</v>
      </c>
      <c r="F265" s="3" t="str">
        <f aca="false">IFERROR(__xludf.dummyfunction("GOOGLETRANSLATE(B265,""en"",""ar"")"),"قدرة")</f>
        <v>قدرة</v>
      </c>
      <c r="G265" s="3" t="n">
        <v>0</v>
      </c>
      <c r="H265" s="3" t="n">
        <v>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1"/>
      <c r="B266" s="2" t="s">
        <v>347</v>
      </c>
      <c r="C266" s="1" t="n">
        <v>61</v>
      </c>
      <c r="D266" s="3"/>
      <c r="E266" s="3" t="s">
        <v>112</v>
      </c>
      <c r="F266" s="3" t="str">
        <f aca="false">IFERROR(__xludf.dummyfunction("GOOGLETRANSLATE(B266,""en"",""ar"")"),"أساسي")</f>
        <v>أساسي</v>
      </c>
      <c r="G266" s="3" t="n">
        <v>0</v>
      </c>
      <c r="H266" s="3" t="n">
        <v>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1"/>
      <c r="B267" s="2" t="s">
        <v>348</v>
      </c>
      <c r="C267" s="1" t="n">
        <v>61</v>
      </c>
      <c r="D267" s="3"/>
      <c r="E267" s="3" t="s">
        <v>119</v>
      </c>
      <c r="F267" s="3" t="str">
        <f aca="false">IFERROR(__xludf.dummyfunction("GOOGLETRANSLATE(B267,""en"",""ar"")"),"مسار")</f>
        <v>مسار</v>
      </c>
      <c r="G267" s="3" t="n">
        <v>0</v>
      </c>
      <c r="H267" s="3" t="n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1"/>
      <c r="B268" s="2" t="s">
        <v>349</v>
      </c>
      <c r="C268" s="1" t="n">
        <v>61</v>
      </c>
      <c r="D268" s="3"/>
      <c r="E268" s="3" t="s">
        <v>79</v>
      </c>
      <c r="F268" s="3" t="str">
        <f aca="false">IFERROR(__xludf.dummyfunction("GOOGLETRANSLATE(B268,""en"",""ar"")"),"اقتصاديات")</f>
        <v>اقتصاديات</v>
      </c>
      <c r="G268" s="3" t="n">
        <v>0</v>
      </c>
      <c r="H268" s="3" t="n">
        <v>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1"/>
      <c r="B269" s="2" t="s">
        <v>350</v>
      </c>
      <c r="C269" s="1" t="n">
        <v>61</v>
      </c>
      <c r="D269" s="3"/>
      <c r="E269" s="3" t="s">
        <v>50</v>
      </c>
      <c r="F269" s="3" t="str">
        <f aca="false">IFERROR(__xludf.dummyfunction("GOOGLETRANSLATE(B269,""en"",""ar"")"),"الصعب")</f>
        <v>الصعب</v>
      </c>
      <c r="G269" s="3" t="n">
        <v>0</v>
      </c>
      <c r="H269" s="3" t="n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1"/>
      <c r="B270" s="2" t="s">
        <v>351</v>
      </c>
      <c r="C270" s="1" t="n">
        <v>60</v>
      </c>
      <c r="D270" s="3"/>
      <c r="E270" s="3" t="s">
        <v>12</v>
      </c>
      <c r="F270" s="3" t="str">
        <f aca="false">IFERROR(__xludf.dummyfunction("GOOGLETRANSLATE(B270,""en"",""ar"")"),"يضيف")</f>
        <v>يضيف</v>
      </c>
      <c r="G270" s="3" t="n">
        <v>0</v>
      </c>
      <c r="H270" s="3" t="n">
        <v>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1"/>
      <c r="B271" s="2" t="s">
        <v>352</v>
      </c>
      <c r="C271" s="1" t="n">
        <v>60</v>
      </c>
      <c r="D271" s="3"/>
      <c r="E271" s="3" t="s">
        <v>119</v>
      </c>
      <c r="F271" s="3" t="str">
        <f aca="false">IFERROR(__xludf.dummyfunction("GOOGLETRANSLATE(B271,""en"",""ar"")"),"شركة")</f>
        <v>شركة</v>
      </c>
      <c r="G271" s="3" t="n">
        <v>0</v>
      </c>
      <c r="H271" s="3" t="n">
        <v>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1"/>
      <c r="B272" s="2" t="s">
        <v>353</v>
      </c>
      <c r="C272" s="1" t="n">
        <v>60</v>
      </c>
      <c r="D272" s="3"/>
      <c r="E272" s="3" t="s">
        <v>112</v>
      </c>
      <c r="F272" s="3" t="str">
        <f aca="false">IFERROR(__xludf.dummyfunction("GOOGLETRANSLATE(B272,""en"",""ar"")"),"معروف")</f>
        <v>معروف</v>
      </c>
      <c r="G272" s="3" t="n">
        <v>0</v>
      </c>
      <c r="H272" s="3" t="n">
        <v>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1"/>
      <c r="B273" s="2" t="s">
        <v>354</v>
      </c>
      <c r="C273" s="1" t="n">
        <v>60</v>
      </c>
      <c r="D273" s="3"/>
      <c r="E273" s="3" t="s">
        <v>79</v>
      </c>
      <c r="F273" s="3" t="str">
        <f aca="false">IFERROR(__xludf.dummyfunction("GOOGLETRANSLATE(B273,""en"",""ar"")"),"الحب")</f>
        <v>الحب</v>
      </c>
      <c r="G273" s="3" t="n">
        <v>0</v>
      </c>
      <c r="H273" s="3" t="n">
        <v>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1"/>
      <c r="B274" s="2" t="s">
        <v>355</v>
      </c>
      <c r="C274" s="1" t="n">
        <v>60</v>
      </c>
      <c r="D274" s="3"/>
      <c r="E274" s="3" t="s">
        <v>356</v>
      </c>
      <c r="F274" s="3" t="str">
        <f aca="false">IFERROR(__xludf.dummyfunction("GOOGLETRANSLATE(B274,""en"",""ar"")"),"ماضي")</f>
        <v>ماضي</v>
      </c>
      <c r="G274" s="3" t="n">
        <v>0</v>
      </c>
      <c r="H274" s="3" t="n">
        <v>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1"/>
      <c r="B275" s="5" t="s">
        <v>357</v>
      </c>
      <c r="C275" s="1" t="n">
        <v>60</v>
      </c>
      <c r="D275" s="3"/>
      <c r="E275" s="3" t="s">
        <v>119</v>
      </c>
      <c r="F275" s="3" t="str">
        <f aca="false">IFERROR(__xludf.dummyfunction("GOOGLETRANSLATE(B275,""en"",""ar"")"),"سعر")</f>
        <v>سعر</v>
      </c>
      <c r="G275" s="3" t="n">
        <v>0</v>
      </c>
      <c r="H275" s="3" t="n">
        <v>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1"/>
      <c r="B276" s="2" t="s">
        <v>358</v>
      </c>
      <c r="C276" s="1" t="n">
        <v>60</v>
      </c>
      <c r="D276" s="3"/>
      <c r="E276" s="3" t="s">
        <v>128</v>
      </c>
      <c r="F276" s="3" t="str">
        <f aca="false">IFERROR(__xludf.dummyfunction("GOOGLETRANSLATE(B276,""en"",""ar"")"),"بحجم")</f>
        <v>بحجم</v>
      </c>
      <c r="G276" s="3" t="n">
        <v>0</v>
      </c>
      <c r="H276" s="3" t="n">
        <v>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1"/>
      <c r="B277" s="5" t="s">
        <v>359</v>
      </c>
      <c r="C277" s="1" t="n">
        <v>59</v>
      </c>
      <c r="D277" s="3"/>
      <c r="E277" s="3" t="s">
        <v>143</v>
      </c>
      <c r="F277" s="3" t="str">
        <f aca="false">IFERROR(__xludf.dummyfunction("GOOGLETRANSLATE(B277,""en"",""ar"")"),"بعيد")</f>
        <v>بعيد</v>
      </c>
      <c r="G277" s="3" t="n">
        <v>0</v>
      </c>
      <c r="H277" s="3" t="n">
        <v>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1"/>
      <c r="B278" s="2" t="s">
        <v>360</v>
      </c>
      <c r="C278" s="1" t="n">
        <v>59</v>
      </c>
      <c r="D278" s="3"/>
      <c r="E278" s="3" t="s">
        <v>235</v>
      </c>
      <c r="F278" s="3" t="str">
        <f aca="false">IFERROR(__xludf.dummyfunction("GOOGLETRANSLATE(B278,""en"",""ar"")"),"كبير")</f>
        <v>كبير</v>
      </c>
      <c r="G278" s="3" t="n">
        <v>0</v>
      </c>
      <c r="H278" s="3" t="n">
        <v>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1"/>
      <c r="B279" s="2" t="s">
        <v>361</v>
      </c>
      <c r="C279" s="1" t="n">
        <v>59</v>
      </c>
      <c r="D279" s="3"/>
      <c r="E279" s="3" t="s">
        <v>79</v>
      </c>
      <c r="F279" s="3" t="str">
        <f aca="false">IFERROR(__xludf.dummyfunction("GOOGLETRANSLATE(B279,""en"",""ar"")"),"إنترنت")</f>
        <v>إنترنت</v>
      </c>
      <c r="G279" s="3" t="n">
        <v>0</v>
      </c>
      <c r="H279" s="3" t="n">
        <v>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1"/>
      <c r="B280" s="2" t="s">
        <v>362</v>
      </c>
      <c r="C280" s="1" t="n">
        <v>59</v>
      </c>
      <c r="D280" s="3"/>
      <c r="E280" s="3" t="s">
        <v>235</v>
      </c>
      <c r="F280" s="3" t="str">
        <f aca="false">IFERROR(__xludf.dummyfunction("GOOGLETRANSLATE(B280,""en"",""ar"")"),"ممكن")</f>
        <v>ممكن</v>
      </c>
      <c r="G280" s="3" t="n">
        <v>0</v>
      </c>
      <c r="H280" s="3" t="n">
        <v>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1"/>
      <c r="B281" s="2" t="s">
        <v>363</v>
      </c>
      <c r="C281" s="1" t="n">
        <v>59</v>
      </c>
      <c r="D281" s="3"/>
      <c r="E281" s="3" t="s">
        <v>79</v>
      </c>
      <c r="F281" s="3" t="str">
        <f aca="false">IFERROR(__xludf.dummyfunction("GOOGLETRANSLATE(B281,""en"",""ar"")"),"التلفاز")</f>
        <v>التلفاز</v>
      </c>
      <c r="G281" s="3" t="n">
        <v>0</v>
      </c>
      <c r="H281" s="3" t="n">
        <v>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1"/>
      <c r="B282" s="2" t="s">
        <v>364</v>
      </c>
      <c r="C282" s="1" t="n">
        <v>59</v>
      </c>
      <c r="D282" s="3"/>
      <c r="E282" s="3" t="s">
        <v>365</v>
      </c>
      <c r="F282" s="3" t="str">
        <f aca="false">IFERROR(__xludf.dummyfunction("GOOGLETRANSLATE(B282,""en"",""ar"")"),"ثلاثة")</f>
        <v>ثلاثة</v>
      </c>
      <c r="G282" s="3" t="n">
        <v>0</v>
      </c>
      <c r="H282" s="3" t="n">
        <v>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1"/>
      <c r="B283" s="2" t="s">
        <v>366</v>
      </c>
      <c r="C283" s="1" t="n">
        <v>59</v>
      </c>
      <c r="D283" s="3"/>
      <c r="E283" s="3" t="s">
        <v>12</v>
      </c>
      <c r="F283" s="3" t="str">
        <f aca="false">IFERROR(__xludf.dummyfunction("GOOGLETRANSLATE(B283,""en"",""ar"")"),"تفهم")</f>
        <v>تفهم</v>
      </c>
      <c r="G283" s="3" t="n">
        <v>0</v>
      </c>
      <c r="H283" s="3" t="n">
        <v>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1"/>
      <c r="B284" s="5" t="s">
        <v>367</v>
      </c>
      <c r="C284" s="1" t="n">
        <v>59</v>
      </c>
      <c r="D284" s="3"/>
      <c r="E284" s="3" t="s">
        <v>112</v>
      </c>
      <c r="F284" s="3" t="str">
        <f aca="false">IFERROR(__xludf.dummyfunction("GOOGLETRANSLATE(B284,""en"",""ar"")"),"مختلف")</f>
        <v>مختلف</v>
      </c>
      <c r="G284" s="3" t="n">
        <v>0</v>
      </c>
      <c r="H284" s="3" t="n">
        <v>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1"/>
      <c r="B285" s="2" t="s">
        <v>368</v>
      </c>
      <c r="C285" s="1" t="n">
        <v>59</v>
      </c>
      <c r="D285" s="3"/>
      <c r="E285" s="3" t="s">
        <v>30</v>
      </c>
      <c r="F285" s="3" t="str">
        <f aca="false">IFERROR(__xludf.dummyfunction("GOOGLETRANSLATE(B285,""en"",""ar"")"),"نفسك")</f>
        <v>نفسك</v>
      </c>
      <c r="G285" s="3" t="n">
        <v>0</v>
      </c>
      <c r="H285" s="3" t="n">
        <v>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1"/>
      <c r="B286" s="2" t="s">
        <v>369</v>
      </c>
      <c r="C286" s="1" t="n">
        <v>58</v>
      </c>
      <c r="D286" s="3"/>
      <c r="E286" s="3" t="s">
        <v>119</v>
      </c>
      <c r="F286" s="3" t="str">
        <f aca="false">IFERROR(__xludf.dummyfunction("GOOGLETRANSLATE(B286,""en"",""ar"")"),"بطاقة")</f>
        <v>بطاقة</v>
      </c>
      <c r="G286" s="3" t="n">
        <v>0</v>
      </c>
      <c r="H286" s="3" t="n">
        <v>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1"/>
      <c r="B287" s="2" t="s">
        <v>370</v>
      </c>
      <c r="C287" s="1" t="n">
        <v>58</v>
      </c>
      <c r="D287" s="3"/>
      <c r="E287" s="3" t="s">
        <v>112</v>
      </c>
      <c r="F287" s="3" t="str">
        <f aca="false">IFERROR(__xludf.dummyfunction("GOOGLETRANSLATE(B287,""en"",""ar"")"),"صعبة")</f>
        <v>صعبة</v>
      </c>
      <c r="G287" s="3" t="n">
        <v>0</v>
      </c>
      <c r="H287" s="3" t="n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1" t="n">
        <v>60</v>
      </c>
      <c r="B288" s="5" t="s">
        <v>371</v>
      </c>
      <c r="C288" s="1" t="n">
        <v>58</v>
      </c>
      <c r="D288" s="3"/>
      <c r="E288" s="3" t="s">
        <v>32</v>
      </c>
      <c r="F288" s="3" t="str">
        <f aca="false">IFERROR(__xludf.dummyfunction("GOOGLETRANSLATE(B288,""en"",""ar"")"),"بما فيها")</f>
        <v>بما فيها</v>
      </c>
      <c r="G288" s="3" t="n">
        <v>0</v>
      </c>
      <c r="H288" s="3" t="n">
        <v>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1"/>
      <c r="B289" s="2" t="s">
        <v>372</v>
      </c>
      <c r="C289" s="1" t="n">
        <v>58</v>
      </c>
      <c r="D289" s="3"/>
      <c r="E289" s="3" t="s">
        <v>119</v>
      </c>
      <c r="F289" s="3" t="str">
        <f aca="false">IFERROR(__xludf.dummyfunction("GOOGLETRANSLATE(B289,""en"",""ar"")"),"قائمة")</f>
        <v>قائمة</v>
      </c>
      <c r="G289" s="3" t="n">
        <v>0</v>
      </c>
      <c r="H289" s="3" t="n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1"/>
      <c r="B290" s="2" t="s">
        <v>373</v>
      </c>
      <c r="C290" s="1" t="n">
        <v>58</v>
      </c>
      <c r="D290" s="3"/>
      <c r="E290" s="3" t="s">
        <v>119</v>
      </c>
      <c r="F290" s="3" t="str">
        <f aca="false">IFERROR(__xludf.dummyfunction("GOOGLETRANSLATE(B290,""en"",""ar"")"),"عقل _ يمانع")</f>
        <v>عقل _ يمانع</v>
      </c>
      <c r="G290" s="3" t="n">
        <v>0</v>
      </c>
      <c r="H290" s="3" t="n">
        <v>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1"/>
      <c r="B291" s="5" t="s">
        <v>374</v>
      </c>
      <c r="C291" s="1" t="n">
        <v>58</v>
      </c>
      <c r="D291" s="3"/>
      <c r="E291" s="3" t="s">
        <v>235</v>
      </c>
      <c r="F291" s="3" t="str">
        <f aca="false">IFERROR(__xludf.dummyfunction("GOOGLETRANSLATE(B291,""en"",""ar"")"),"معين")</f>
        <v>معين</v>
      </c>
      <c r="G291" s="3" t="n">
        <v>0</v>
      </c>
      <c r="H291" s="3" t="n">
        <v>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1"/>
      <c r="B292" s="2"/>
      <c r="C292" s="1" t="n">
        <v>58</v>
      </c>
      <c r="D292" s="3"/>
      <c r="E292" s="3" t="s">
        <v>336</v>
      </c>
      <c r="F292" s="3" t="str">
        <f aca="false">IFERROR(__xludf.dummyfunction("GOOGLETRANSLATE(B292,""en"",""ar"")"),"#VALUE!")</f>
        <v>#VALUE!</v>
      </c>
      <c r="G292" s="3" t="n">
        <v>0</v>
      </c>
      <c r="H292" s="3" t="n">
        <v>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1"/>
      <c r="B293" s="2" t="s">
        <v>375</v>
      </c>
      <c r="C293" s="1" t="n">
        <v>58</v>
      </c>
      <c r="D293" s="3"/>
      <c r="E293" s="3" t="s">
        <v>79</v>
      </c>
      <c r="F293" s="3" t="str">
        <f aca="false">IFERROR(__xludf.dummyfunction("GOOGLETRANSLATE(B293,""en"",""ar"")"),"علم")</f>
        <v>علم</v>
      </c>
      <c r="G293" s="3" t="n">
        <v>0</v>
      </c>
      <c r="H293" s="3" t="n">
        <v>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1"/>
      <c r="B294" s="5" t="s">
        <v>376</v>
      </c>
      <c r="C294" s="1" t="n">
        <v>58</v>
      </c>
      <c r="D294" s="3"/>
      <c r="E294" s="3" t="s">
        <v>119</v>
      </c>
      <c r="F294" s="3" t="str">
        <f aca="false">IFERROR(__xludf.dummyfunction("GOOGLETRANSLATE(B294,""en"",""ar"")"),"تجارة")</f>
        <v>تجارة</v>
      </c>
      <c r="G294" s="3" t="n">
        <v>0</v>
      </c>
      <c r="H294" s="3" t="n">
        <v>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1"/>
      <c r="B295" s="2" t="s">
        <v>377</v>
      </c>
      <c r="C295" s="1" t="n">
        <v>57</v>
      </c>
      <c r="D295" s="3"/>
      <c r="E295" s="3" t="s">
        <v>12</v>
      </c>
      <c r="F295" s="3" t="str">
        <f aca="false">IFERROR(__xludf.dummyfunction("GOOGLETRANSLATE(B295,""en"",""ar"")"),"انصح")</f>
        <v>انصح</v>
      </c>
      <c r="G295" s="3" t="n">
        <v>0</v>
      </c>
      <c r="H295" s="3" t="n">
        <v>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1"/>
      <c r="B296" s="5" t="s">
        <v>378</v>
      </c>
      <c r="C296" s="1" t="n">
        <v>57</v>
      </c>
      <c r="D296" s="3"/>
      <c r="E296" s="3" t="s">
        <v>379</v>
      </c>
      <c r="F296" s="3" t="str">
        <f aca="false">IFERROR(__xludf.dummyfunction("GOOGLETRANSLATE(B296,""en"",""ar"")"),"إما")</f>
        <v>إما</v>
      </c>
      <c r="G296" s="3" t="n">
        <v>0</v>
      </c>
      <c r="H296" s="3" t="n">
        <v>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1"/>
      <c r="B297" s="2" t="s">
        <v>380</v>
      </c>
      <c r="C297" s="1" t="n">
        <v>57</v>
      </c>
      <c r="D297" s="3"/>
      <c r="E297" s="3" t="s">
        <v>79</v>
      </c>
      <c r="F297" s="3" t="str">
        <f aca="false">IFERROR(__xludf.dummyfunction("GOOGLETRANSLATE(B297,""en"",""ar"")"),"مكتبة")</f>
        <v>مكتبة</v>
      </c>
      <c r="G297" s="3" t="n">
        <v>0</v>
      </c>
      <c r="H297" s="3" t="n">
        <v>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1"/>
      <c r="B298" s="5" t="s">
        <v>381</v>
      </c>
      <c r="C298" s="1" t="n">
        <v>57</v>
      </c>
      <c r="D298" s="3"/>
      <c r="E298" s="3" t="s">
        <v>42</v>
      </c>
      <c r="F298" s="3" t="str">
        <f aca="false">IFERROR(__xludf.dummyfunction("GOOGLETRANSLATE(B298,""en"",""ar"")"),"المحتمل أن")</f>
        <v>المحتمل أن</v>
      </c>
      <c r="G298" s="3" t="n">
        <v>0</v>
      </c>
      <c r="H298" s="3" t="n">
        <v>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1"/>
      <c r="B299" s="2" t="s">
        <v>382</v>
      </c>
      <c r="C299" s="1" t="n">
        <v>57</v>
      </c>
      <c r="D299" s="3"/>
      <c r="E299" s="3" t="s">
        <v>79</v>
      </c>
      <c r="F299" s="3" t="str">
        <f aca="false">IFERROR(__xludf.dummyfunction("GOOGLETRANSLATE(B299,""en"",""ar"")"),"طبيعة")</f>
        <v>طبيعة</v>
      </c>
      <c r="G299" s="3" t="n">
        <v>0</v>
      </c>
      <c r="H299" s="3" t="n">
        <v>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1" t="n">
        <v>65</v>
      </c>
      <c r="B300" s="5" t="s">
        <v>383</v>
      </c>
      <c r="C300" s="1" t="n">
        <v>56</v>
      </c>
      <c r="D300" s="3"/>
      <c r="E300" s="3" t="s">
        <v>79</v>
      </c>
      <c r="F300" s="3" t="str">
        <f aca="false">IFERROR(__xludf.dummyfunction("GOOGLETRANSLATE(B300,""en"",""ar"")"),"حقيقة")</f>
        <v>حقيقة</v>
      </c>
      <c r="G300" s="3" t="n">
        <v>0</v>
      </c>
      <c r="H300" s="3" t="n">
        <v>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1"/>
      <c r="B301" s="5" t="s">
        <v>384</v>
      </c>
      <c r="C301" s="1" t="n">
        <v>56</v>
      </c>
      <c r="D301" s="3"/>
      <c r="E301" s="3" t="s">
        <v>119</v>
      </c>
      <c r="F301" s="3" t="str">
        <f aca="false">IFERROR(__xludf.dummyfunction("GOOGLETRANSLATE(B301,""en"",""ar"")"),"خط")</f>
        <v>خط</v>
      </c>
      <c r="G301" s="3" t="n">
        <v>0</v>
      </c>
      <c r="H301" s="3" t="n">
        <v>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1"/>
      <c r="B302" s="5" t="s">
        <v>385</v>
      </c>
      <c r="C302" s="1" t="n">
        <v>56</v>
      </c>
      <c r="D302" s="3"/>
      <c r="E302" s="3" t="s">
        <v>79</v>
      </c>
      <c r="F302" s="3" t="str">
        <f aca="false">IFERROR(__xludf.dummyfunction("GOOGLETRANSLATE(B302,""en"",""ar"")"),"منتج")</f>
        <v>منتج</v>
      </c>
      <c r="G302" s="3" t="n">
        <v>0</v>
      </c>
      <c r="H302" s="3" t="n">
        <v>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1"/>
      <c r="B303" s="2" t="s">
        <v>386</v>
      </c>
      <c r="C303" s="1" t="n">
        <v>55</v>
      </c>
      <c r="D303" s="3"/>
      <c r="E303" s="3" t="s">
        <v>119</v>
      </c>
      <c r="F303" s="3" t="str">
        <f aca="false">IFERROR(__xludf.dummyfunction("GOOGLETRANSLATE(B303,""en"",""ar"")"),"رعاية")</f>
        <v>رعاية</v>
      </c>
      <c r="G303" s="3" t="n">
        <v>0</v>
      </c>
      <c r="H303" s="3" t="n">
        <v>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1"/>
      <c r="B304" s="2" t="s">
        <v>387</v>
      </c>
      <c r="C304" s="1" t="n">
        <v>55</v>
      </c>
      <c r="D304" s="3"/>
      <c r="E304" s="3" t="s">
        <v>119</v>
      </c>
      <c r="F304" s="3" t="str">
        <f aca="false">IFERROR(__xludf.dummyfunction("GOOGLETRANSLATE(B304,""en"",""ar"")"),"مجموعة")</f>
        <v>مجموعة</v>
      </c>
      <c r="G304" s="3" t="n">
        <v>0</v>
      </c>
      <c r="H304" s="3" t="n">
        <v>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1"/>
      <c r="B305" s="2" t="s">
        <v>388</v>
      </c>
      <c r="C305" s="1" t="n">
        <v>55</v>
      </c>
      <c r="D305" s="3"/>
      <c r="E305" s="3" t="s">
        <v>79</v>
      </c>
      <c r="F305" s="3" t="str">
        <f aca="false">IFERROR(__xludf.dummyfunction("GOOGLETRANSLATE(B305,""en"",""ar"")"),"فكرة")</f>
        <v>فكرة</v>
      </c>
      <c r="G305" s="3" t="n">
        <v>0</v>
      </c>
      <c r="H305" s="3" t="n">
        <v>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1"/>
      <c r="B306" s="2" t="s">
        <v>389</v>
      </c>
      <c r="C306" s="1" t="n">
        <v>55</v>
      </c>
      <c r="D306" s="3"/>
      <c r="E306" s="3" t="s">
        <v>119</v>
      </c>
      <c r="F306" s="3" t="str">
        <f aca="false">IFERROR(__xludf.dummyfunction("GOOGLETRANSLATE(B306,""en"",""ar"")"),"مخاطرة")</f>
        <v>مخاطرة</v>
      </c>
      <c r="G306" s="3" t="n">
        <v>0</v>
      </c>
      <c r="H306" s="3" t="n">
        <v>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1"/>
      <c r="B307" s="2" t="s">
        <v>390</v>
      </c>
      <c r="C307" s="1" t="n">
        <v>55</v>
      </c>
      <c r="D307" s="3"/>
      <c r="E307" s="3" t="s">
        <v>112</v>
      </c>
      <c r="F307" s="3" t="str">
        <f aca="false">IFERROR(__xludf.dummyfunction("GOOGLETRANSLATE(B307,""en"",""ar"")"),"العديد")</f>
        <v>العديد</v>
      </c>
      <c r="G307" s="3" t="n">
        <v>0</v>
      </c>
      <c r="H307" s="3" t="n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1"/>
      <c r="B308" s="2" t="s">
        <v>391</v>
      </c>
      <c r="C308" s="1" t="n">
        <v>55</v>
      </c>
      <c r="D308" s="3"/>
      <c r="E308" s="3" t="s">
        <v>30</v>
      </c>
      <c r="F308" s="3" t="str">
        <f aca="false">IFERROR(__xludf.dummyfunction("GOOGLETRANSLATE(B308,""en"",""ar"")"),"شخص ما")</f>
        <v>شخص ما</v>
      </c>
      <c r="G308" s="3" t="n">
        <v>0</v>
      </c>
      <c r="H308" s="3" t="n">
        <v>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1"/>
      <c r="B309" s="2" t="s">
        <v>392</v>
      </c>
      <c r="C309" s="1" t="n">
        <v>55</v>
      </c>
      <c r="D309" s="3"/>
      <c r="E309" s="3" t="s">
        <v>79</v>
      </c>
      <c r="F309" s="3" t="str">
        <f aca="false">IFERROR(__xludf.dummyfunction("GOOGLETRANSLATE(B309,""en"",""ar"")"),"درجة الحرارة")</f>
        <v>درجة الحرارة</v>
      </c>
      <c r="G309" s="3" t="n">
        <v>0</v>
      </c>
      <c r="H309" s="3" t="n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1"/>
      <c r="B310" s="2" t="s">
        <v>393</v>
      </c>
      <c r="C310" s="1" t="n">
        <v>55</v>
      </c>
      <c r="D310" s="3"/>
      <c r="E310" s="3" t="s">
        <v>112</v>
      </c>
      <c r="F310" s="3" t="str">
        <f aca="false">IFERROR(__xludf.dummyfunction("GOOGLETRANSLATE(B310,""en"",""ar"")"),"متحد")</f>
        <v>متحد</v>
      </c>
      <c r="G310" s="3" t="n">
        <v>0</v>
      </c>
      <c r="H310" s="3" t="n">
        <v>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1"/>
      <c r="B311" s="2" t="s">
        <v>394</v>
      </c>
      <c r="C311" s="1" t="n">
        <v>55</v>
      </c>
      <c r="D311" s="3"/>
      <c r="E311" s="3" t="s">
        <v>395</v>
      </c>
      <c r="F311" s="3" t="str">
        <f aca="false">IFERROR(__xludf.dummyfunction("GOOGLETRANSLATE(B311,""en"",""ar"")"),"كلمة")</f>
        <v>كلمة</v>
      </c>
      <c r="G311" s="3" t="n">
        <v>0</v>
      </c>
      <c r="H311" s="3" t="n">
        <v>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1"/>
      <c r="B312" s="2" t="s">
        <v>396</v>
      </c>
      <c r="C312" s="1" t="n">
        <v>54</v>
      </c>
      <c r="D312" s="3"/>
      <c r="E312" s="3" t="s">
        <v>83</v>
      </c>
      <c r="F312" s="3" t="str">
        <f aca="false">IFERROR(__xludf.dummyfunction("GOOGLETRANSLATE(B312,""en"",""ar"")"),"سمين")</f>
        <v>سمين</v>
      </c>
      <c r="G312" s="3" t="n">
        <v>0</v>
      </c>
      <c r="H312" s="3" t="n">
        <v>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1"/>
      <c r="B313" s="2" t="s">
        <v>397</v>
      </c>
      <c r="C313" s="1" t="n">
        <v>54</v>
      </c>
      <c r="D313" s="3"/>
      <c r="E313" s="3" t="s">
        <v>119</v>
      </c>
      <c r="F313" s="3" t="str">
        <f aca="false">IFERROR(__xludf.dummyfunction("GOOGLETRANSLATE(B313,""en"",""ar"")"),"فرض")</f>
        <v>فرض</v>
      </c>
      <c r="G313" s="3" t="n">
        <v>0</v>
      </c>
      <c r="H313" s="3" t="n">
        <v>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1"/>
      <c r="B314" s="2" t="s">
        <v>398</v>
      </c>
      <c r="C314" s="1" t="n">
        <v>54</v>
      </c>
      <c r="D314" s="3"/>
      <c r="E314" s="3" t="s">
        <v>83</v>
      </c>
      <c r="F314" s="3" t="str">
        <f aca="false">IFERROR(__xludf.dummyfunction("GOOGLETRANSLATE(B314,""en"",""ar"")"),"مفتاح")</f>
        <v>مفتاح</v>
      </c>
      <c r="G314" s="3" t="n">
        <v>0</v>
      </c>
      <c r="H314" s="3" t="n">
        <v>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1"/>
      <c r="B315" s="2" t="s">
        <v>399</v>
      </c>
      <c r="C315" s="1" t="n">
        <v>54</v>
      </c>
      <c r="D315" s="3"/>
      <c r="E315" s="3" t="s">
        <v>128</v>
      </c>
      <c r="F315" s="3" t="str">
        <f aca="false">IFERROR(__xludf.dummyfunction("GOOGLETRANSLATE(B315,""en"",""ar"")"),"ضوء")</f>
        <v>ضوء</v>
      </c>
      <c r="G315" s="3" t="n">
        <v>0</v>
      </c>
      <c r="H315" s="3" t="n">
        <v>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1"/>
      <c r="B316" s="5" t="s">
        <v>400</v>
      </c>
      <c r="C316" s="1" t="n">
        <v>54</v>
      </c>
      <c r="D316" s="3"/>
      <c r="E316" s="3" t="s">
        <v>42</v>
      </c>
      <c r="F316" s="3" t="str">
        <f aca="false">IFERROR(__xludf.dummyfunction("GOOGLETRANSLATE(B316,""en"",""ar"")"),"ببساطة")</f>
        <v>ببساطة</v>
      </c>
      <c r="G316" s="3" t="n">
        <v>0</v>
      </c>
      <c r="H316" s="3" t="n">
        <v>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1"/>
      <c r="B317" s="2" t="s">
        <v>401</v>
      </c>
      <c r="C317" s="1" t="n">
        <v>54</v>
      </c>
      <c r="D317" s="3"/>
      <c r="E317" s="3" t="s">
        <v>314</v>
      </c>
      <c r="F317" s="3" t="str">
        <f aca="false">IFERROR(__xludf.dummyfunction("GOOGLETRANSLATE(B317,""en"",""ar"")"),"اليوم")</f>
        <v>اليوم</v>
      </c>
      <c r="G317" s="3" t="n">
        <v>0</v>
      </c>
      <c r="H317" s="3" t="n">
        <v>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1"/>
      <c r="B318" s="2" t="s">
        <v>402</v>
      </c>
      <c r="C318" s="1" t="n">
        <v>54</v>
      </c>
      <c r="D318" s="3"/>
      <c r="E318" s="3" t="s">
        <v>148</v>
      </c>
      <c r="F318" s="3" t="str">
        <f aca="false">IFERROR(__xludf.dummyfunction("GOOGLETRANSLATE(B318,""en"",""ar"")"),"تمرين")</f>
        <v>تمرين</v>
      </c>
      <c r="G318" s="3" t="n">
        <v>0</v>
      </c>
      <c r="H318" s="3" t="n">
        <v>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1"/>
      <c r="B319" s="2" t="s">
        <v>403</v>
      </c>
      <c r="C319" s="1" t="n">
        <v>54</v>
      </c>
      <c r="D319" s="3"/>
      <c r="E319" s="3" t="s">
        <v>32</v>
      </c>
      <c r="F319" s="3" t="str">
        <f aca="false">IFERROR(__xludf.dummyfunction("GOOGLETRANSLATE(B319,""en"",""ar"")"),"حتى")</f>
        <v>حتى</v>
      </c>
      <c r="G319" s="3" t="n">
        <v>0</v>
      </c>
      <c r="H319" s="3" t="n">
        <v>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1"/>
      <c r="B320" s="2" t="s">
        <v>404</v>
      </c>
      <c r="C320" s="1" t="n">
        <v>53</v>
      </c>
      <c r="D320" s="3"/>
      <c r="E320" s="3" t="s">
        <v>405</v>
      </c>
      <c r="F320" s="3" t="str">
        <f aca="false">IFERROR(__xludf.dummyfunction("GOOGLETRANSLATE(B320,""en"",""ar"")"),"رائد")</f>
        <v>رائد</v>
      </c>
      <c r="G320" s="3" t="n">
        <v>0</v>
      </c>
      <c r="H320" s="3" t="n">
        <v>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1"/>
      <c r="B321" s="2" t="s">
        <v>406</v>
      </c>
      <c r="C321" s="1" t="n">
        <v>53</v>
      </c>
      <c r="D321" s="3"/>
      <c r="E321" s="3" t="s">
        <v>128</v>
      </c>
      <c r="F321" s="3" t="str">
        <f aca="false">IFERROR(__xludf.dummyfunction("GOOGLETRANSLATE(B321,""en"",""ar"")"),"اسم")</f>
        <v>اسم</v>
      </c>
      <c r="G321" s="3" t="n">
        <v>0</v>
      </c>
      <c r="H321" s="3" t="n">
        <v>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1"/>
      <c r="B322" s="2" t="s">
        <v>407</v>
      </c>
      <c r="C322" s="1" t="n">
        <v>53</v>
      </c>
      <c r="D322" s="3"/>
      <c r="E322" s="3" t="s">
        <v>235</v>
      </c>
      <c r="F322" s="3" t="str">
        <f aca="false">IFERROR(__xludf.dummyfunction("GOOGLETRANSLATE(B322,""en"",""ar"")"),"شخصي")</f>
        <v>شخصي</v>
      </c>
      <c r="G322" s="3" t="n">
        <v>0</v>
      </c>
      <c r="H322" s="3" t="n">
        <v>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1"/>
      <c r="B323" s="2" t="s">
        <v>408</v>
      </c>
      <c r="C323" s="1" t="n">
        <v>53</v>
      </c>
      <c r="D323" s="3"/>
      <c r="E323" s="3" t="s">
        <v>119</v>
      </c>
      <c r="F323" s="3" t="str">
        <f aca="false">IFERROR(__xludf.dummyfunction("GOOGLETRANSLATE(B323,""en"",""ar"")"),"المدرسة")</f>
        <v>المدرسة</v>
      </c>
      <c r="G323" s="3" t="n">
        <v>0</v>
      </c>
      <c r="H323" s="3" t="n">
        <v>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1"/>
      <c r="B324" s="2" t="s">
        <v>409</v>
      </c>
      <c r="C324" s="1" t="n">
        <v>53</v>
      </c>
      <c r="D324" s="3"/>
      <c r="E324" s="3" t="s">
        <v>83</v>
      </c>
      <c r="F324" s="3" t="str">
        <f aca="false">IFERROR(__xludf.dummyfunction("GOOGLETRANSLATE(B324,""en"",""ar"")"),"أعلى")</f>
        <v>أعلى</v>
      </c>
      <c r="G324" s="3" t="n">
        <v>0</v>
      </c>
      <c r="H324" s="3" t="n">
        <v>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1"/>
      <c r="B325" s="5" t="s">
        <v>410</v>
      </c>
      <c r="C325" s="1" t="n">
        <v>52</v>
      </c>
      <c r="D325" s="3"/>
      <c r="E325" s="3" t="s">
        <v>235</v>
      </c>
      <c r="F325" s="3" t="str">
        <f aca="false">IFERROR(__xludf.dummyfunction("GOOGLETRANSLATE(B325,""en"",""ar"")"),"تيار")</f>
        <v>تيار</v>
      </c>
      <c r="G325" s="3" t="n">
        <v>0</v>
      </c>
      <c r="H325" s="3" t="n">
        <v>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1"/>
      <c r="B326" s="5" t="s">
        <v>411</v>
      </c>
      <c r="C326" s="1" t="n">
        <v>52</v>
      </c>
      <c r="D326" s="3"/>
      <c r="E326" s="3" t="s">
        <v>42</v>
      </c>
      <c r="F326" s="3" t="str">
        <f aca="false">IFERROR(__xludf.dummyfunction("GOOGLETRANSLATE(B326,""en"",""ar"")"),"عموما")</f>
        <v>عموما</v>
      </c>
      <c r="G326" s="3" t="n">
        <v>0</v>
      </c>
      <c r="H326" s="3" t="n">
        <v>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1"/>
      <c r="B327" s="2" t="s">
        <v>412</v>
      </c>
      <c r="C327" s="1" t="n">
        <v>52</v>
      </c>
      <c r="D327" s="3"/>
      <c r="E327" s="3" t="s">
        <v>112</v>
      </c>
      <c r="F327" s="3" t="str">
        <f aca="false">IFERROR(__xludf.dummyfunction("GOOGLETRANSLATE(B327,""en"",""ar"")"),"تاريخي")</f>
        <v>تاريخي</v>
      </c>
      <c r="G327" s="3" t="n">
        <v>0</v>
      </c>
      <c r="H327" s="3" t="n">
        <v>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1"/>
      <c r="B328" s="2" t="s">
        <v>413</v>
      </c>
      <c r="C328" s="1" t="n">
        <v>52</v>
      </c>
      <c r="D328" s="3"/>
      <c r="E328" s="3" t="s">
        <v>79</v>
      </c>
      <c r="F328" s="3" t="str">
        <f aca="false">IFERROR(__xludf.dummyfunction("GOOGLETRANSLATE(B328,""en"",""ar"")"),"استثمار")</f>
        <v>استثمار</v>
      </c>
      <c r="G328" s="3" t="n">
        <v>0</v>
      </c>
      <c r="H328" s="3" t="n">
        <v>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1"/>
      <c r="B329" s="2" t="s">
        <v>414</v>
      </c>
      <c r="C329" s="1" t="n">
        <v>52</v>
      </c>
      <c r="D329" s="3"/>
      <c r="E329" s="3" t="s">
        <v>50</v>
      </c>
      <c r="F329" s="3" t="str">
        <f aca="false">IFERROR(__xludf.dummyfunction("GOOGLETRANSLATE(B329,""en"",""ar"")"),"غادر")</f>
        <v>غادر</v>
      </c>
      <c r="G329" s="3" t="n">
        <v>0</v>
      </c>
      <c r="H329" s="3" t="n">
        <v>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1"/>
      <c r="B330" s="2" t="s">
        <v>415</v>
      </c>
      <c r="C330" s="1" t="n">
        <v>52</v>
      </c>
      <c r="D330" s="3"/>
      <c r="E330" s="3" t="s">
        <v>235</v>
      </c>
      <c r="F330" s="3" t="str">
        <f aca="false">IFERROR(__xludf.dummyfunction("GOOGLETRANSLATE(B330,""en"",""ar"")"),"وطني")</f>
        <v>وطني</v>
      </c>
      <c r="G330" s="3" t="n">
        <v>0</v>
      </c>
      <c r="H330" s="3" t="n">
        <v>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1"/>
      <c r="B331" s="5" t="s">
        <v>416</v>
      </c>
      <c r="C331" s="1" t="n">
        <v>51</v>
      </c>
      <c r="D331" s="3"/>
      <c r="E331" s="3" t="s">
        <v>119</v>
      </c>
      <c r="F331" s="3" t="str">
        <f aca="false">IFERROR(__xludf.dummyfunction("GOOGLETRANSLATE(B331,""en"",""ar"")"),"كمية")</f>
        <v>كمية</v>
      </c>
      <c r="G331" s="3" t="n">
        <v>0</v>
      </c>
      <c r="H331" s="3" t="n">
        <v>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1"/>
      <c r="B332" s="2" t="s">
        <v>417</v>
      </c>
      <c r="C332" s="1" t="n">
        <v>51</v>
      </c>
      <c r="D332" s="3"/>
      <c r="E332" s="3" t="s">
        <v>83</v>
      </c>
      <c r="F332" s="3" t="str">
        <f aca="false">IFERROR(__xludf.dummyfunction("GOOGLETRANSLATE(B332,""en"",""ar"")"),"مستوى")</f>
        <v>مستوى</v>
      </c>
      <c r="G332" s="3" t="n">
        <v>0</v>
      </c>
      <c r="H332" s="3" t="n">
        <v>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1"/>
      <c r="B333" s="2" t="s">
        <v>418</v>
      </c>
      <c r="C333" s="1" t="n">
        <v>51</v>
      </c>
      <c r="D333" s="3"/>
      <c r="E333" s="3" t="s">
        <v>119</v>
      </c>
      <c r="F333" s="3" t="str">
        <f aca="false">IFERROR(__xludf.dummyfunction("GOOGLETRANSLATE(B333,""en"",""ar"")"),"ترتيب")</f>
        <v>ترتيب</v>
      </c>
      <c r="G333" s="3" t="n">
        <v>0</v>
      </c>
      <c r="H333" s="3" t="n">
        <v>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1"/>
      <c r="B334" s="2" t="s">
        <v>419</v>
      </c>
      <c r="C334" s="1" t="n">
        <v>51</v>
      </c>
      <c r="D334" s="3"/>
      <c r="E334" s="3" t="s">
        <v>119</v>
      </c>
      <c r="F334" s="3" t="str">
        <f aca="false">IFERROR(__xludf.dummyfunction("GOOGLETRANSLATE(B334,""en"",""ar"")"),"حاجة")</f>
        <v>حاجة</v>
      </c>
      <c r="G334" s="3" t="n">
        <v>0</v>
      </c>
      <c r="H334" s="3" t="n">
        <v>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1"/>
      <c r="B335" s="2" t="s">
        <v>420</v>
      </c>
      <c r="C335" s="1" t="n">
        <v>51</v>
      </c>
      <c r="D335" s="3"/>
      <c r="E335" s="3" t="s">
        <v>119</v>
      </c>
      <c r="F335" s="3" t="str">
        <f aca="false">IFERROR(__xludf.dummyfunction("GOOGLETRANSLATE(B335,""en"",""ar"")"),"ابحاث")</f>
        <v>ابحاث</v>
      </c>
      <c r="G335" s="3" t="n">
        <v>0</v>
      </c>
      <c r="H335" s="3" t="n">
        <v>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1"/>
      <c r="B336" s="5" t="s">
        <v>421</v>
      </c>
      <c r="C336" s="1" t="n">
        <v>51</v>
      </c>
      <c r="D336" s="3"/>
      <c r="E336" s="3" t="s">
        <v>119</v>
      </c>
      <c r="F336" s="3" t="str">
        <f aca="false">IFERROR(__xludf.dummyfunction("GOOGLETRANSLATE(B336,""en"",""ar"")"),"اشارة")</f>
        <v>اشارة</v>
      </c>
      <c r="G336" s="3" t="n">
        <v>0</v>
      </c>
      <c r="H336" s="3" t="n">
        <v>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1"/>
      <c r="B337" s="2" t="s">
        <v>422</v>
      </c>
      <c r="C337" s="1" t="n">
        <v>51</v>
      </c>
      <c r="D337" s="3"/>
      <c r="E337" s="3" t="s">
        <v>119</v>
      </c>
      <c r="F337" s="3" t="str">
        <f aca="false">IFERROR(__xludf.dummyfunction("GOOGLETRANSLATE(B337,""en"",""ar"")"),"الخدمات")</f>
        <v>الخدمات</v>
      </c>
      <c r="G337" s="3" t="n">
        <v>0</v>
      </c>
      <c r="H337" s="3" t="n">
        <v>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1"/>
      <c r="B338" s="2" t="s">
        <v>423</v>
      </c>
      <c r="C338" s="1" t="n">
        <v>50</v>
      </c>
      <c r="D338" s="3"/>
      <c r="E338" s="3" t="s">
        <v>79</v>
      </c>
      <c r="F338" s="3" t="str">
        <f aca="false">IFERROR(__xludf.dummyfunction("GOOGLETRANSLATE(B338,""en"",""ar"")"),"منطقة")</f>
        <v>منطقة</v>
      </c>
      <c r="G338" s="3" t="n">
        <v>0</v>
      </c>
      <c r="H338" s="3" t="n">
        <v>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1"/>
      <c r="B339" s="2" t="s">
        <v>424</v>
      </c>
      <c r="C339" s="1" t="n">
        <v>50</v>
      </c>
      <c r="D339" s="3"/>
      <c r="E339" s="3" t="s">
        <v>94</v>
      </c>
      <c r="F339" s="3" t="str">
        <f aca="false">IFERROR(__xludf.dummyfunction("GOOGLETRANSLATE(B339,""en"",""ar"")"),"يقطع")</f>
        <v>يقطع</v>
      </c>
      <c r="G339" s="3" t="n">
        <v>0</v>
      </c>
      <c r="H339" s="3" t="n">
        <v>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1"/>
      <c r="B340" s="2" t="s">
        <v>425</v>
      </c>
      <c r="C340" s="1" t="n">
        <v>50</v>
      </c>
      <c r="D340" s="3"/>
      <c r="E340" s="3" t="s">
        <v>112</v>
      </c>
      <c r="F340" s="3" t="str">
        <f aca="false">IFERROR(__xludf.dummyfunction("GOOGLETRANSLATE(B340,""en"",""ar"")"),"الحار")</f>
        <v>الحار</v>
      </c>
      <c r="G340" s="3" t="n">
        <v>0</v>
      </c>
      <c r="H340" s="3" t="n">
        <v>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1"/>
      <c r="B341" s="2" t="s">
        <v>426</v>
      </c>
      <c r="C341" s="1" t="n">
        <v>50</v>
      </c>
      <c r="D341" s="3"/>
      <c r="E341" s="3" t="s">
        <v>42</v>
      </c>
      <c r="F341" s="3" t="str">
        <f aca="false">IFERROR(__xludf.dummyfunction("GOOGLETRANSLATE(B341,""en"",""ar"")"),"في حين أن")</f>
        <v>في حين أن</v>
      </c>
      <c r="G341" s="3" t="n">
        <v>0</v>
      </c>
      <c r="H341" s="3" t="n">
        <v>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1"/>
      <c r="B342" s="2" t="s">
        <v>427</v>
      </c>
      <c r="C342" s="1" t="n">
        <v>50</v>
      </c>
      <c r="D342" s="3"/>
      <c r="E342" s="3" t="s">
        <v>50</v>
      </c>
      <c r="F342" s="3" t="str">
        <f aca="false">IFERROR(__xludf.dummyfunction("GOOGLETRANSLATE(B342,""en"",""ar"")"),"الأقل")</f>
        <v>الأقل</v>
      </c>
      <c r="G342" s="3" t="n">
        <v>0</v>
      </c>
      <c r="H342" s="3" t="n">
        <v>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1"/>
      <c r="B343" s="2" t="s">
        <v>428</v>
      </c>
      <c r="C343" s="1" t="n">
        <v>50</v>
      </c>
      <c r="D343" s="3"/>
      <c r="E343" s="3" t="s">
        <v>77</v>
      </c>
      <c r="F343" s="3" t="str">
        <f aca="false">IFERROR(__xludf.dummyfunction("GOOGLETRANSLATE(B343,""en"",""ar"")"),"طبيعي")</f>
        <v>طبيعي</v>
      </c>
      <c r="G343" s="3" t="n">
        <v>0</v>
      </c>
      <c r="H343" s="3" t="n">
        <v>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1"/>
      <c r="B344" s="2" t="s">
        <v>429</v>
      </c>
      <c r="C344" s="1" t="n">
        <v>50</v>
      </c>
      <c r="D344" s="3"/>
      <c r="E344" s="3" t="s">
        <v>235</v>
      </c>
      <c r="F344" s="3" t="str">
        <f aca="false">IFERROR(__xludf.dummyfunction("GOOGLETRANSLATE(B344,""en"",""ar"")"),"جسدي - بدني")</f>
        <v>جسدي - بدني</v>
      </c>
      <c r="G344" s="3" t="n">
        <v>0</v>
      </c>
      <c r="H344" s="3" t="n">
        <v>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1"/>
      <c r="B345" s="2" t="s">
        <v>430</v>
      </c>
      <c r="C345" s="1" t="n">
        <v>50</v>
      </c>
      <c r="D345" s="3"/>
      <c r="E345" s="3" t="s">
        <v>119</v>
      </c>
      <c r="F345" s="3" t="str">
        <f aca="false">IFERROR(__xludf.dummyfunction("GOOGLETRANSLATE(B345,""en"",""ar"")"),"قطعة")</f>
        <v>قطعة</v>
      </c>
      <c r="G345" s="3" t="n">
        <v>0</v>
      </c>
      <c r="H345" s="3" t="n">
        <v>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1"/>
      <c r="B346" s="2" t="s">
        <v>431</v>
      </c>
      <c r="C346" s="1" t="n">
        <v>50</v>
      </c>
      <c r="D346" s="3"/>
      <c r="E346" s="3" t="s">
        <v>94</v>
      </c>
      <c r="F346" s="3" t="str">
        <f aca="false">IFERROR(__xludf.dummyfunction("GOOGLETRANSLATE(B346,""en"",""ar"")"),"تبين")</f>
        <v>تبين</v>
      </c>
      <c r="G346" s="3" t="n">
        <v>0</v>
      </c>
      <c r="H346" s="3" t="n">
        <v>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1"/>
      <c r="B347" s="2" t="s">
        <v>432</v>
      </c>
      <c r="C347" s="1" t="n">
        <v>50</v>
      </c>
      <c r="D347" s="3"/>
      <c r="E347" s="3" t="s">
        <v>79</v>
      </c>
      <c r="F347" s="3" t="str">
        <f aca="false">IFERROR(__xludf.dummyfunction("GOOGLETRANSLATE(B347,""en"",""ar"")"),"المجتمع")</f>
        <v>المجتمع</v>
      </c>
      <c r="G347" s="3" t="n">
        <v>0</v>
      </c>
      <c r="H347" s="3" t="n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1"/>
      <c r="B348" s="2" t="s">
        <v>433</v>
      </c>
      <c r="C348" s="1" t="n">
        <v>50</v>
      </c>
      <c r="D348" s="3"/>
      <c r="E348" s="3" t="s">
        <v>94</v>
      </c>
      <c r="F348" s="3" t="str">
        <f aca="false">IFERROR(__xludf.dummyfunction("GOOGLETRANSLATE(B348,""en"",""ar"")"),"يحاول")</f>
        <v>يحاول</v>
      </c>
      <c r="G348" s="3" t="n">
        <v>0</v>
      </c>
      <c r="H348" s="3" t="n">
        <v>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1"/>
      <c r="B349" s="2" t="s">
        <v>434</v>
      </c>
      <c r="C349" s="1" t="n">
        <v>49</v>
      </c>
      <c r="D349" s="3"/>
      <c r="E349" s="3" t="s">
        <v>170</v>
      </c>
      <c r="F349" s="3" t="str">
        <f aca="false">IFERROR(__xludf.dummyfunction("GOOGLETRANSLATE(B349,""en"",""ar"")"),"التحقق من")</f>
        <v>التحقق من</v>
      </c>
      <c r="G349" s="3" t="n">
        <v>0</v>
      </c>
      <c r="H349" s="3" t="n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1"/>
      <c r="B350" s="2" t="s">
        <v>435</v>
      </c>
      <c r="C350" s="1" t="n">
        <v>49</v>
      </c>
      <c r="D350" s="3"/>
      <c r="E350" s="3" t="s">
        <v>12</v>
      </c>
      <c r="F350" s="3" t="str">
        <f aca="false">IFERROR(__xludf.dummyfunction("GOOGLETRANSLATE(B350,""en"",""ar"")"),"إختر")</f>
        <v>إختر</v>
      </c>
      <c r="G350" s="3" t="n">
        <v>0</v>
      </c>
      <c r="H350" s="3" t="n">
        <v>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1"/>
      <c r="B351" s="2" t="s">
        <v>436</v>
      </c>
      <c r="C351" s="1" t="n">
        <v>49</v>
      </c>
      <c r="D351" s="3"/>
      <c r="E351" s="3" t="s">
        <v>12</v>
      </c>
      <c r="F351" s="3" t="str">
        <f aca="false">IFERROR(__xludf.dummyfunction("GOOGLETRANSLATE(B351,""en"",""ar"")"),"طور")</f>
        <v>طور</v>
      </c>
      <c r="G351" s="3" t="n">
        <v>0</v>
      </c>
      <c r="H351" s="3" t="n">
        <v>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1"/>
      <c r="B352" s="2" t="s">
        <v>437</v>
      </c>
      <c r="C352" s="1" t="n">
        <v>49</v>
      </c>
      <c r="D352" s="3"/>
      <c r="E352" s="3" t="s">
        <v>438</v>
      </c>
      <c r="F352" s="3" t="str">
        <f aca="false">IFERROR(__xludf.dummyfunction("GOOGLETRANSLATE(B352,""en"",""ar"")"),"ثانيا")</f>
        <v>ثانيا</v>
      </c>
      <c r="G352" s="3" t="n">
        <v>0</v>
      </c>
      <c r="H352" s="3" t="n">
        <v>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1"/>
      <c r="B353" s="2" t="s">
        <v>439</v>
      </c>
      <c r="C353" s="1" t="n">
        <v>49</v>
      </c>
      <c r="D353" s="3"/>
      <c r="E353" s="3" t="s">
        <v>112</v>
      </c>
      <c r="F353" s="3" t="str">
        <f aca="false">IFERROR(__xludf.dummyfunction("GOOGLETRANSLATE(B353,""en"",""ar"")"),"مفيد")</f>
        <v>مفيد</v>
      </c>
      <c r="G353" s="3" t="n">
        <v>0</v>
      </c>
      <c r="H353" s="3" t="n">
        <v>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1"/>
      <c r="B354" s="2" t="s">
        <v>440</v>
      </c>
      <c r="C354" s="1" t="n">
        <v>49</v>
      </c>
      <c r="D354" s="3"/>
      <c r="E354" s="3" t="s">
        <v>119</v>
      </c>
      <c r="F354" s="3" t="str">
        <f aca="false">IFERROR(__xludf.dummyfunction("GOOGLETRANSLATE(B354,""en"",""ar"")"),"شبكة")</f>
        <v>شبكة</v>
      </c>
      <c r="G354" s="3" t="n">
        <v>0</v>
      </c>
      <c r="H354" s="3" t="n">
        <v>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1"/>
      <c r="B355" s="2" t="s">
        <v>441</v>
      </c>
      <c r="C355" s="1" t="n">
        <v>48</v>
      </c>
      <c r="D355" s="3"/>
      <c r="E355" s="3" t="s">
        <v>79</v>
      </c>
      <c r="F355" s="3" t="str">
        <f aca="false">IFERROR(__xludf.dummyfunction("GOOGLETRANSLATE(B355,""en"",""ar"")"),"نشاط")</f>
        <v>نشاط</v>
      </c>
      <c r="G355" s="3" t="n">
        <v>0</v>
      </c>
      <c r="H355" s="3" t="n">
        <v>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1"/>
      <c r="B356" s="2" t="s">
        <v>442</v>
      </c>
      <c r="C356" s="1" t="n">
        <v>48</v>
      </c>
      <c r="D356" s="3"/>
      <c r="E356" s="3" t="s">
        <v>128</v>
      </c>
      <c r="F356" s="3" t="str">
        <f aca="false">IFERROR(__xludf.dummyfunction("GOOGLETRANSLATE(B356,""en"",""ar"")"),"رئيس")</f>
        <v>رئيس</v>
      </c>
      <c r="G356" s="3" t="n">
        <v>0</v>
      </c>
      <c r="H356" s="3" t="n">
        <v>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1"/>
      <c r="B357" s="2" t="s">
        <v>443</v>
      </c>
      <c r="C357" s="1" t="n">
        <v>48</v>
      </c>
      <c r="D357" s="3"/>
      <c r="E357" s="3" t="s">
        <v>205</v>
      </c>
      <c r="F357" s="3" t="str">
        <f aca="false">IFERROR(__xludf.dummyfunction("GOOGLETRANSLATE(B357,""en"",""ar"")"),"قصير القامة")</f>
        <v>قصير القامة</v>
      </c>
      <c r="G357" s="3" t="n">
        <v>0</v>
      </c>
      <c r="H357" s="3" t="n">
        <v>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1"/>
      <c r="B358" s="2" t="s">
        <v>444</v>
      </c>
      <c r="C358" s="1" t="n">
        <v>48</v>
      </c>
      <c r="D358" s="3"/>
      <c r="E358" s="3" t="s">
        <v>79</v>
      </c>
      <c r="F358" s="3" t="str">
        <f aca="false">IFERROR(__xludf.dummyfunction("GOOGLETRANSLATE(B358,""en"",""ar"")"),"قصة")</f>
        <v>قصة</v>
      </c>
      <c r="G358" s="3" t="n">
        <v>0</v>
      </c>
      <c r="H358" s="3" t="n">
        <v>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1"/>
      <c r="B359" s="2" t="s">
        <v>445</v>
      </c>
      <c r="C359" s="1" t="n">
        <v>47</v>
      </c>
      <c r="D359" s="3"/>
      <c r="E359" s="3" t="s">
        <v>94</v>
      </c>
      <c r="F359" s="3" t="str">
        <f aca="false">IFERROR(__xludf.dummyfunction("GOOGLETRANSLATE(B359,""en"",""ar"")"),"يتصل")</f>
        <v>يتصل</v>
      </c>
      <c r="G359" s="3" t="n">
        <v>0</v>
      </c>
      <c r="H359" s="3" t="n">
        <v>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1"/>
      <c r="B360" s="2" t="s">
        <v>446</v>
      </c>
      <c r="C360" s="1" t="n">
        <v>47</v>
      </c>
      <c r="D360" s="3"/>
      <c r="E360" s="3" t="s">
        <v>79</v>
      </c>
      <c r="F360" s="3" t="str">
        <f aca="false">IFERROR(__xludf.dummyfunction("GOOGLETRANSLATE(B360,""en"",""ar"")"),"صناعة")</f>
        <v>صناعة</v>
      </c>
      <c r="G360" s="3" t="n">
        <v>0</v>
      </c>
      <c r="H360" s="3" t="n">
        <v>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1"/>
      <c r="B361" s="2" t="s">
        <v>447</v>
      </c>
      <c r="C361" s="1" t="n">
        <v>47</v>
      </c>
      <c r="D361" s="3"/>
      <c r="E361" s="3" t="s">
        <v>205</v>
      </c>
      <c r="F361" s="3" t="str">
        <f aca="false">IFERROR(__xludf.dummyfunction("GOOGLETRANSLATE(B361,""en"",""ar"")"),"الاخير")</f>
        <v>الاخير</v>
      </c>
      <c r="G361" s="3" t="n">
        <v>0</v>
      </c>
      <c r="H361" s="3" t="n">
        <v>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1"/>
      <c r="B362" s="2" t="s">
        <v>448</v>
      </c>
      <c r="C362" s="1" t="n">
        <v>47</v>
      </c>
      <c r="D362" s="3"/>
      <c r="E362" s="3" t="s">
        <v>79</v>
      </c>
      <c r="F362" s="3" t="str">
        <f aca="false">IFERROR(__xludf.dummyfunction("GOOGLETRANSLATE(B362,""en"",""ar"")"),"وسائط")</f>
        <v>وسائط</v>
      </c>
      <c r="G362" s="3" t="n">
        <v>0</v>
      </c>
      <c r="H362" s="3" t="n">
        <v>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1"/>
      <c r="B363" s="2" t="s">
        <v>449</v>
      </c>
      <c r="C363" s="1" t="n">
        <v>47</v>
      </c>
      <c r="D363" s="3"/>
      <c r="E363" s="3" t="s">
        <v>112</v>
      </c>
      <c r="F363" s="3" t="str">
        <f aca="false">IFERROR(__xludf.dummyfunction("GOOGLETRANSLATE(B363,""en"",""ar"")"),"عقلي")</f>
        <v>عقلي</v>
      </c>
      <c r="G363" s="3" t="n">
        <v>0</v>
      </c>
      <c r="H363" s="3" t="n">
        <v>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1"/>
      <c r="B364" s="2" t="s">
        <v>450</v>
      </c>
      <c r="C364" s="1" t="n">
        <v>47</v>
      </c>
      <c r="D364" s="3"/>
      <c r="E364" s="3" t="s">
        <v>94</v>
      </c>
      <c r="F364" s="3" t="str">
        <f aca="false">IFERROR(__xludf.dummyfunction("GOOGLETRANSLATE(B364,""en"",""ar"")"),"يتحرك")</f>
        <v>يتحرك</v>
      </c>
      <c r="G364" s="3" t="n">
        <v>0</v>
      </c>
      <c r="H364" s="3" t="n">
        <v>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1"/>
      <c r="B365" s="2" t="s">
        <v>451</v>
      </c>
      <c r="C365" s="1" t="n">
        <v>47</v>
      </c>
      <c r="D365" s="3"/>
      <c r="E365" s="3" t="s">
        <v>94</v>
      </c>
      <c r="F365" s="3" t="str">
        <f aca="false">IFERROR(__xludf.dummyfunction("GOOGLETRANSLATE(B365,""en"",""ar"")"),"يدفع")</f>
        <v>يدفع</v>
      </c>
      <c r="G365" s="3" t="n">
        <v>0</v>
      </c>
      <c r="H365" s="3" t="n">
        <v>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1"/>
      <c r="B366" s="2" t="s">
        <v>452</v>
      </c>
      <c r="C366" s="1" t="n">
        <v>47</v>
      </c>
      <c r="D366" s="3"/>
      <c r="E366" s="3" t="s">
        <v>119</v>
      </c>
      <c r="F366" s="3" t="str">
        <f aca="false">IFERROR(__xludf.dummyfunction("GOOGLETRANSLATE(B366,""en"",""ar"")"),"رياضة")</f>
        <v>رياضة</v>
      </c>
      <c r="G366" s="3" t="n">
        <v>0</v>
      </c>
      <c r="H366" s="3" t="n">
        <v>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1"/>
      <c r="B367" s="2" t="s">
        <v>453</v>
      </c>
      <c r="C367" s="1" t="n">
        <v>47</v>
      </c>
      <c r="D367" s="3"/>
      <c r="E367" s="3" t="s">
        <v>79</v>
      </c>
      <c r="F367" s="3" t="str">
        <f aca="false">IFERROR(__xludf.dummyfunction("GOOGLETRANSLATE(B367,""en"",""ar"")"),"شيء")</f>
        <v>شيء</v>
      </c>
      <c r="G367" s="3" t="n">
        <v>0</v>
      </c>
      <c r="H367" s="3" t="n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1"/>
      <c r="B368" s="2" t="s">
        <v>454</v>
      </c>
      <c r="C368" s="1" t="n">
        <v>46</v>
      </c>
      <c r="D368" s="3"/>
      <c r="E368" s="3" t="s">
        <v>42</v>
      </c>
      <c r="F368" s="3" t="str">
        <f aca="false">IFERROR(__xludf.dummyfunction("GOOGLETRANSLATE(B368,""en"",""ar"")"),"فعلا")</f>
        <v>فعلا</v>
      </c>
      <c r="G368" s="3" t="n">
        <v>0</v>
      </c>
      <c r="H368" s="3" t="n">
        <v>0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1"/>
      <c r="B369" s="2" t="s">
        <v>455</v>
      </c>
      <c r="C369" s="1" t="n">
        <v>46</v>
      </c>
      <c r="D369" s="3"/>
      <c r="E369" s="3" t="s">
        <v>32</v>
      </c>
      <c r="F369" s="3" t="str">
        <f aca="false">IFERROR(__xludf.dummyfunction("GOOGLETRANSLATE(B369,""en"",""ar"")"),"ضد")</f>
        <v>ضد</v>
      </c>
      <c r="G369" s="3" t="n">
        <v>0</v>
      </c>
      <c r="H369" s="3" t="n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1"/>
      <c r="B370" s="2" t="s">
        <v>456</v>
      </c>
      <c r="C370" s="1" t="n">
        <v>46</v>
      </c>
      <c r="D370" s="3"/>
      <c r="E370" s="3" t="s">
        <v>143</v>
      </c>
      <c r="F370" s="3" t="str">
        <f aca="false">IFERROR(__xludf.dummyfunction("GOOGLETRANSLATE(B370,""en"",""ar"")"),"بعيد")</f>
        <v>بعيد</v>
      </c>
      <c r="G370" s="3" t="n">
        <v>0</v>
      </c>
      <c r="H370" s="3" t="n">
        <v>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1"/>
      <c r="B371" s="2" t="s">
        <v>457</v>
      </c>
      <c r="C371" s="1" t="n">
        <v>46</v>
      </c>
      <c r="D371" s="3"/>
      <c r="E371" s="3" t="s">
        <v>83</v>
      </c>
      <c r="F371" s="3" t="str">
        <f aca="false">IFERROR(__xludf.dummyfunction("GOOGLETRANSLATE(B371,""en"",""ar"")"),"مرح")</f>
        <v>مرح</v>
      </c>
      <c r="G371" s="3" t="n">
        <v>0</v>
      </c>
      <c r="H371" s="3" t="n">
        <v>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1"/>
      <c r="B372" s="2" t="s">
        <v>458</v>
      </c>
      <c r="C372" s="1" t="n">
        <v>46</v>
      </c>
      <c r="D372" s="3"/>
      <c r="E372" s="3" t="s">
        <v>83</v>
      </c>
      <c r="F372" s="3" t="str">
        <f aca="false">IFERROR(__xludf.dummyfunction("GOOGLETRANSLATE(B372,""en"",""ar"")"),"منزل")</f>
        <v>منزل</v>
      </c>
      <c r="G372" s="3" t="n">
        <v>0</v>
      </c>
      <c r="H372" s="3" t="n">
        <v>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1"/>
      <c r="B373" s="2" t="s">
        <v>459</v>
      </c>
      <c r="C373" s="1" t="n">
        <v>46</v>
      </c>
      <c r="D373" s="3"/>
      <c r="E373" s="3" t="s">
        <v>94</v>
      </c>
      <c r="F373" s="3" t="str">
        <f aca="false">IFERROR(__xludf.dummyfunction("GOOGLETRANSLATE(B373,""en"",""ar"")"),"يترك")</f>
        <v>يترك</v>
      </c>
      <c r="G373" s="3" t="n">
        <v>0</v>
      </c>
      <c r="H373" s="3" t="n">
        <v>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1"/>
      <c r="B374" s="2" t="s">
        <v>460</v>
      </c>
      <c r="C374" s="1" t="n">
        <v>46</v>
      </c>
      <c r="D374" s="3"/>
      <c r="E374" s="3" t="s">
        <v>119</v>
      </c>
      <c r="F374" s="3" t="str">
        <f aca="false">IFERROR(__xludf.dummyfunction("GOOGLETRANSLATE(B374,""en"",""ar"")"),"صفحة")</f>
        <v>صفحة</v>
      </c>
      <c r="G374" s="3" t="n">
        <v>0</v>
      </c>
      <c r="H374" s="3" t="n">
        <v>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1"/>
      <c r="B375" s="2" t="s">
        <v>461</v>
      </c>
      <c r="C375" s="1" t="n">
        <v>46</v>
      </c>
      <c r="D375" s="3"/>
      <c r="E375" s="3" t="s">
        <v>12</v>
      </c>
      <c r="F375" s="3" t="str">
        <f aca="false">IFERROR(__xludf.dummyfunction("GOOGLETRANSLATE(B375,""en"",""ar"")"),"تذكر")</f>
        <v>تذكر</v>
      </c>
      <c r="G375" s="3" t="n">
        <v>0</v>
      </c>
      <c r="H375" s="3" t="n">
        <v>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1"/>
      <c r="B376" s="2" t="s">
        <v>462</v>
      </c>
      <c r="C376" s="1" t="n">
        <v>46</v>
      </c>
      <c r="D376" s="3"/>
      <c r="E376" s="3" t="s">
        <v>119</v>
      </c>
      <c r="F376" s="3" t="str">
        <f aca="false">IFERROR(__xludf.dummyfunction("GOOGLETRANSLATE(B376,""en"",""ar"")"),"مصطلح")</f>
        <v>مصطلح</v>
      </c>
      <c r="G376" s="3" t="n">
        <v>0</v>
      </c>
      <c r="H376" s="3" t="n">
        <v>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1"/>
      <c r="B377" s="2" t="s">
        <v>463</v>
      </c>
      <c r="C377" s="1" t="n">
        <v>46</v>
      </c>
      <c r="D377" s="3"/>
      <c r="E377" s="3" t="s">
        <v>119</v>
      </c>
      <c r="F377" s="3" t="str">
        <f aca="false">IFERROR(__xludf.dummyfunction("GOOGLETRANSLATE(B377,""en"",""ar"")"),"اختبار")</f>
        <v>اختبار</v>
      </c>
      <c r="G377" s="3" t="n">
        <v>0</v>
      </c>
      <c r="H377" s="3" t="n">
        <v>0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1"/>
      <c r="B378" s="5" t="s">
        <v>464</v>
      </c>
      <c r="C378" s="1" t="n">
        <v>46</v>
      </c>
      <c r="D378" s="3"/>
      <c r="E378" s="3" t="s">
        <v>7</v>
      </c>
      <c r="F378" s="3" t="str">
        <f aca="false">IFERROR(__xludf.dummyfunction("GOOGLETRANSLATE(B378,""en"",""ar"")"),"في غضون")</f>
        <v>في غضون</v>
      </c>
      <c r="G378" s="3" t="n">
        <v>0</v>
      </c>
      <c r="H378" s="3" t="n">
        <v>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1"/>
      <c r="B379" s="2" t="s">
        <v>465</v>
      </c>
      <c r="C379" s="1" t="n">
        <v>45</v>
      </c>
      <c r="D379" s="3"/>
      <c r="E379" s="3" t="s">
        <v>7</v>
      </c>
      <c r="F379" s="3" t="str">
        <f aca="false">IFERROR(__xludf.dummyfunction("GOOGLETRANSLATE(B379,""en"",""ar"")"),"على امتداد")</f>
        <v>على امتداد</v>
      </c>
      <c r="G379" s="3" t="n">
        <v>0</v>
      </c>
      <c r="H379" s="3" t="n">
        <v>0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1"/>
      <c r="B380" s="2" t="s">
        <v>466</v>
      </c>
      <c r="C380" s="1" t="n">
        <v>45</v>
      </c>
      <c r="D380" s="3"/>
      <c r="E380" s="3" t="s">
        <v>119</v>
      </c>
      <c r="F380" s="3" t="str">
        <f aca="false">IFERROR(__xludf.dummyfunction("GOOGLETRANSLATE(B380,""en"",""ar"")"),"إجابه")</f>
        <v>إجابه</v>
      </c>
      <c r="G380" s="3" t="n">
        <v>0</v>
      </c>
      <c r="H380" s="3" t="n">
        <v>0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1"/>
      <c r="B381" s="2" t="s">
        <v>467</v>
      </c>
      <c r="C381" s="1" t="n">
        <v>45</v>
      </c>
      <c r="D381" s="3"/>
      <c r="E381" s="3" t="s">
        <v>94</v>
      </c>
      <c r="F381" s="3" t="str">
        <f aca="false">IFERROR(__xludf.dummyfunction("GOOGLETRANSLATE(B381,""en"",""ar"")"),"زيادة")</f>
        <v>زيادة</v>
      </c>
      <c r="G381" s="3" t="n">
        <v>0</v>
      </c>
      <c r="H381" s="3" t="n">
        <v>0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1"/>
      <c r="B382" s="2" t="s">
        <v>468</v>
      </c>
      <c r="C382" s="1" t="n">
        <v>45</v>
      </c>
      <c r="D382" s="3"/>
      <c r="E382" s="3" t="s">
        <v>79</v>
      </c>
      <c r="F382" s="3" t="str">
        <f aca="false">IFERROR(__xludf.dummyfunction("GOOGLETRANSLATE(B382,""en"",""ar"")"),"فرن")</f>
        <v>فرن</v>
      </c>
      <c r="G382" s="3" t="n">
        <v>0</v>
      </c>
      <c r="H382" s="3" t="n">
        <v>0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1"/>
      <c r="B383" s="2" t="s">
        <v>469</v>
      </c>
      <c r="C383" s="1" t="n">
        <v>45</v>
      </c>
      <c r="D383" s="3"/>
      <c r="E383" s="3" t="s">
        <v>306</v>
      </c>
      <c r="F383" s="3" t="str">
        <f aca="false">IFERROR(__xludf.dummyfunction("GOOGLETRANSLATE(B383,""en"",""ar"")"),"الى حد كبير")</f>
        <v>الى حد كبير</v>
      </c>
      <c r="G383" s="3" t="n">
        <v>0</v>
      </c>
      <c r="H383" s="3" t="n">
        <v>0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1"/>
      <c r="B384" s="2" t="s">
        <v>470</v>
      </c>
      <c r="C384" s="1" t="n">
        <v>45</v>
      </c>
      <c r="D384" s="3"/>
      <c r="E384" s="3" t="s">
        <v>112</v>
      </c>
      <c r="F384" s="3" t="str">
        <f aca="false">IFERROR(__xludf.dummyfunction("GOOGLETRANSLATE(B384,""en"",""ar"")"),"مقدس")</f>
        <v>مقدس</v>
      </c>
      <c r="G384" s="3" t="n">
        <v>0</v>
      </c>
      <c r="H384" s="3" t="n">
        <v>0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1"/>
      <c r="B385" s="2" t="s">
        <v>471</v>
      </c>
      <c r="C385" s="1" t="n">
        <v>45</v>
      </c>
      <c r="D385" s="3"/>
      <c r="E385" s="3" t="s">
        <v>405</v>
      </c>
      <c r="F385" s="3" t="str">
        <f aca="false">IFERROR(__xludf.dummyfunction("GOOGLETRANSLATE(B385,""en"",""ar"")"),"أعزب")</f>
        <v>أعزب</v>
      </c>
      <c r="G385" s="3" t="n">
        <v>0</v>
      </c>
      <c r="H385" s="3" t="n">
        <v>0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1"/>
      <c r="B386" s="2" t="s">
        <v>472</v>
      </c>
      <c r="C386" s="1" t="n">
        <v>45</v>
      </c>
      <c r="D386" s="3"/>
      <c r="E386" s="3" t="s">
        <v>128</v>
      </c>
      <c r="F386" s="3" t="str">
        <f aca="false">IFERROR(__xludf.dummyfunction("GOOGLETRANSLATE(B386,""en"",""ar"")"),"يبدو")</f>
        <v>يبدو</v>
      </c>
      <c r="G386" s="3" t="n">
        <v>0</v>
      </c>
      <c r="H386" s="3" t="n">
        <v>0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1"/>
      <c r="B387" s="2" t="s">
        <v>473</v>
      </c>
      <c r="C387" s="1" t="n">
        <v>44</v>
      </c>
      <c r="D387" s="3"/>
      <c r="E387" s="3" t="s">
        <v>42</v>
      </c>
      <c r="F387" s="3" t="str">
        <f aca="false">IFERROR(__xludf.dummyfunction("GOOGLETRANSLATE(B387,""en"",""ar"")"),"تكرارا")</f>
        <v>تكرارا</v>
      </c>
      <c r="G387" s="3" t="n">
        <v>0</v>
      </c>
      <c r="H387" s="3" t="n">
        <v>0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1"/>
      <c r="B388" s="5" t="s">
        <v>474</v>
      </c>
      <c r="C388" s="1" t="n">
        <v>44</v>
      </c>
      <c r="D388" s="3"/>
      <c r="E388" s="3" t="s">
        <v>79</v>
      </c>
      <c r="F388" s="3" t="str">
        <f aca="false">IFERROR(__xludf.dummyfunction("GOOGLETRANSLATE(B388,""en"",""ar"")"),"تواصل اجتماعي")</f>
        <v>تواصل اجتماعي</v>
      </c>
      <c r="G388" s="3" t="n">
        <v>0</v>
      </c>
      <c r="H388" s="3" t="n">
        <v>0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1"/>
      <c r="B389" s="2" t="s">
        <v>475</v>
      </c>
      <c r="C389" s="1" t="n">
        <v>44</v>
      </c>
      <c r="D389" s="3"/>
      <c r="E389" s="3" t="s">
        <v>79</v>
      </c>
      <c r="F389" s="3" t="str">
        <f aca="false">IFERROR(__xludf.dummyfunction("GOOGLETRANSLATE(B389,""en"",""ar"")"),"تعريف")</f>
        <v>تعريف</v>
      </c>
      <c r="G389" s="3" t="n">
        <v>0</v>
      </c>
      <c r="H389" s="3" t="n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1"/>
      <c r="B390" s="2" t="s">
        <v>476</v>
      </c>
      <c r="C390" s="1" t="n">
        <v>44</v>
      </c>
      <c r="D390" s="3"/>
      <c r="E390" s="3" t="s">
        <v>119</v>
      </c>
      <c r="F390" s="3" t="str">
        <f aca="false">IFERROR(__xludf.dummyfunction("GOOGLETRANSLATE(B390,""en"",""ar"")"),"التركيز")</f>
        <v>التركيز</v>
      </c>
      <c r="G390" s="3" t="n">
        <v>0</v>
      </c>
      <c r="H390" s="3" t="n">
        <v>0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1"/>
      <c r="B391" s="2" t="s">
        <v>477</v>
      </c>
      <c r="C391" s="1" t="n">
        <v>44</v>
      </c>
      <c r="D391" s="3"/>
      <c r="E391" s="3" t="s">
        <v>235</v>
      </c>
      <c r="F391" s="3" t="str">
        <f aca="false">IFERROR(__xludf.dummyfunction("GOOGLETRANSLATE(B391,""en"",""ar"")"),"فرد")</f>
        <v>فرد</v>
      </c>
      <c r="G391" s="3" t="n">
        <v>0</v>
      </c>
      <c r="H391" s="3" t="n">
        <v>0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1"/>
      <c r="B392" s="2" t="s">
        <v>478</v>
      </c>
      <c r="C392" s="1" t="n">
        <v>44</v>
      </c>
      <c r="D392" s="3"/>
      <c r="E392" s="3" t="s">
        <v>119</v>
      </c>
      <c r="F392" s="3" t="str">
        <f aca="false">IFERROR(__xludf.dummyfunction("GOOGLETRANSLATE(B392,""en"",""ar"")"),"شيء")</f>
        <v>شيء</v>
      </c>
      <c r="G392" s="3" t="n">
        <v>0</v>
      </c>
      <c r="H392" s="3" t="n">
        <v>0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1"/>
      <c r="B393" s="5" t="s">
        <v>479</v>
      </c>
      <c r="C393" s="1" t="n">
        <v>44</v>
      </c>
      <c r="D393" s="3"/>
      <c r="E393" s="3" t="s">
        <v>79</v>
      </c>
      <c r="F393" s="3" t="str">
        <f aca="false">IFERROR(__xludf.dummyfunction("GOOGLETRANSLATE(B393,""en"",""ar"")"),"سلامة")</f>
        <v>سلامة</v>
      </c>
      <c r="G393" s="3" t="n">
        <v>0</v>
      </c>
      <c r="H393" s="3" t="n">
        <v>0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1"/>
      <c r="B394" s="2" t="s">
        <v>480</v>
      </c>
      <c r="C394" s="1" t="n">
        <v>44</v>
      </c>
      <c r="D394" s="3"/>
      <c r="E394" s="3" t="s">
        <v>94</v>
      </c>
      <c r="F394" s="3" t="str">
        <f aca="false">IFERROR(__xludf.dummyfunction("GOOGLETRANSLATE(B394,""en"",""ar"")"),"منعطف أو دور")</f>
        <v>منعطف أو دور</v>
      </c>
      <c r="G394" s="3" t="n">
        <v>0</v>
      </c>
      <c r="H394" s="3" t="n">
        <v>0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1"/>
      <c r="B395" s="2" t="s">
        <v>481</v>
      </c>
      <c r="C395" s="1" t="n">
        <v>43</v>
      </c>
      <c r="D395" s="3"/>
      <c r="E395" s="3" t="s">
        <v>30</v>
      </c>
      <c r="F395" s="3" t="str">
        <f aca="false">IFERROR(__xludf.dummyfunction("GOOGLETRANSLATE(B395,""en"",""ar"")"),"كل شىء")</f>
        <v>كل شىء</v>
      </c>
      <c r="G395" s="3" t="n">
        <v>0</v>
      </c>
      <c r="H395" s="3" t="n">
        <v>0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1"/>
      <c r="B396" s="2" t="s">
        <v>482</v>
      </c>
      <c r="C396" s="1" t="n">
        <v>43</v>
      </c>
      <c r="D396" s="3"/>
      <c r="E396" s="3" t="s">
        <v>148</v>
      </c>
      <c r="F396" s="3" t="str">
        <f aca="false">IFERROR(__xludf.dummyfunction("GOOGLETRANSLATE(B396,""en"",""ar"")"),"طيب القلب")</f>
        <v>طيب القلب</v>
      </c>
      <c r="G396" s="3" t="n">
        <v>0</v>
      </c>
      <c r="H396" s="3" t="n">
        <v>0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1"/>
      <c r="B397" s="2" t="s">
        <v>483</v>
      </c>
      <c r="C397" s="1" t="n">
        <v>43</v>
      </c>
      <c r="D397" s="3"/>
      <c r="E397" s="3" t="s">
        <v>79</v>
      </c>
      <c r="F397" s="3" t="str">
        <f aca="false">IFERROR(__xludf.dummyfunction("GOOGLETRANSLATE(B397,""en"",""ar"")"),"جودة")</f>
        <v>جودة</v>
      </c>
      <c r="G397" s="3" t="n">
        <v>0</v>
      </c>
      <c r="H397" s="3" t="n">
        <v>0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1"/>
      <c r="B398" s="5" t="s">
        <v>484</v>
      </c>
      <c r="C398" s="1" t="n">
        <v>43</v>
      </c>
      <c r="D398" s="3"/>
      <c r="E398" s="3" t="s">
        <v>119</v>
      </c>
      <c r="F398" s="3" t="str">
        <f aca="false">IFERROR(__xludf.dummyfunction("GOOGLETRANSLATE(B398,""en"",""ar"")"),"تربة")</f>
        <v>تربة</v>
      </c>
      <c r="G398" s="3" t="n">
        <v>0</v>
      </c>
      <c r="H398" s="3" t="n">
        <v>0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1"/>
      <c r="B399" s="2" t="s">
        <v>485</v>
      </c>
      <c r="C399" s="1" t="n">
        <v>42</v>
      </c>
      <c r="D399" s="3"/>
      <c r="E399" s="3" t="s">
        <v>94</v>
      </c>
      <c r="F399" s="3" t="str">
        <f aca="false">IFERROR(__xludf.dummyfunction("GOOGLETRANSLATE(B399,""en"",""ar"")"),"يطلب")</f>
        <v>يطلب</v>
      </c>
      <c r="G399" s="3" t="n">
        <v>0</v>
      </c>
      <c r="H399" s="3" t="n">
        <v>0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1"/>
      <c r="B400" s="5" t="s">
        <v>486</v>
      </c>
      <c r="C400" s="1" t="n">
        <v>42</v>
      </c>
      <c r="D400" s="3"/>
      <c r="E400" s="3" t="s">
        <v>119</v>
      </c>
      <c r="F400" s="3" t="str">
        <f aca="false">IFERROR(__xludf.dummyfunction("GOOGLETRANSLATE(B400,""en"",""ar"")"),"مجلس")</f>
        <v>مجلس</v>
      </c>
      <c r="G400" s="3" t="n">
        <v>0</v>
      </c>
      <c r="H400" s="3" t="n">
        <v>0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1"/>
      <c r="B401" s="5" t="s">
        <v>487</v>
      </c>
      <c r="C401" s="1" t="n">
        <v>42</v>
      </c>
      <c r="D401" s="3"/>
      <c r="E401" s="3" t="s">
        <v>94</v>
      </c>
      <c r="F401" s="3" t="str">
        <f aca="false">IFERROR(__xludf.dummyfunction("GOOGLETRANSLATE(B401,""en"",""ar"")"),"يشترى")</f>
        <v>يشترى</v>
      </c>
      <c r="G401" s="3" t="n">
        <v>0</v>
      </c>
      <c r="H401" s="3" t="n">
        <v>0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1"/>
      <c r="B402" s="2" t="s">
        <v>488</v>
      </c>
      <c r="C402" s="1" t="n">
        <v>42</v>
      </c>
      <c r="D402" s="3"/>
      <c r="E402" s="3" t="s">
        <v>79</v>
      </c>
      <c r="F402" s="3" t="str">
        <f aca="false">IFERROR(__xludf.dummyfunction("GOOGLETRANSLATE(B402,""en"",""ar"")"),"تطوير")</f>
        <v>تطوير</v>
      </c>
      <c r="G402" s="3" t="n">
        <v>0</v>
      </c>
      <c r="H402" s="3" t="n">
        <v>0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1"/>
      <c r="B403" s="5" t="s">
        <v>489</v>
      </c>
      <c r="C403" s="1" t="n">
        <v>42</v>
      </c>
      <c r="D403" s="3"/>
      <c r="E403" s="3" t="s">
        <v>94</v>
      </c>
      <c r="F403" s="3" t="str">
        <f aca="false">IFERROR(__xludf.dummyfunction("GOOGLETRANSLATE(B403,""en"",""ar"")"),"حارس")</f>
        <v>حارس</v>
      </c>
      <c r="G403" s="3" t="n">
        <v>0</v>
      </c>
      <c r="H403" s="3" t="n">
        <v>0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1"/>
      <c r="B404" s="6" t="s">
        <v>490</v>
      </c>
      <c r="C404" s="1" t="n">
        <v>42</v>
      </c>
      <c r="D404" s="3"/>
      <c r="E404" s="3" t="s">
        <v>94</v>
      </c>
      <c r="F404" s="3" t="str">
        <f aca="false">IFERROR(__xludf.dummyfunction("GOOGLETRANSLATE(B404,""en"",""ar"")"),"معلق")</f>
        <v>معلق</v>
      </c>
      <c r="G404" s="3" t="n">
        <v>0</v>
      </c>
      <c r="H404" s="3" t="n">
        <v>0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1"/>
      <c r="B405" s="2" t="s">
        <v>491</v>
      </c>
      <c r="C405" s="1" t="n">
        <v>42</v>
      </c>
      <c r="D405" s="3"/>
      <c r="E405" s="3" t="s">
        <v>79</v>
      </c>
      <c r="F405" s="3" t="str">
        <f aca="false">IFERROR(__xludf.dummyfunction("GOOGLETRANSLATE(B405,""en"",""ar"")"),"لغة")</f>
        <v>لغة</v>
      </c>
      <c r="G405" s="3" t="n">
        <v>0</v>
      </c>
      <c r="H405" s="3" t="n">
        <v>0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1"/>
      <c r="B406" s="2" t="s">
        <v>492</v>
      </c>
      <c r="C406" s="1" t="n">
        <v>42</v>
      </c>
      <c r="D406" s="3"/>
      <c r="E406" s="3" t="s">
        <v>306</v>
      </c>
      <c r="F406" s="3" t="str">
        <f aca="false">IFERROR(__xludf.dummyfunction("GOOGLETRANSLATE(B406,""en"",""ar"")"),"الى وقت لاحق")</f>
        <v>الى وقت لاحق</v>
      </c>
      <c r="G406" s="3" t="n">
        <v>0</v>
      </c>
      <c r="H406" s="3" t="n">
        <v>0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1"/>
      <c r="B407" s="2" t="s">
        <v>493</v>
      </c>
      <c r="C407" s="1" t="n">
        <v>42</v>
      </c>
      <c r="D407" s="3"/>
      <c r="E407" s="3" t="s">
        <v>235</v>
      </c>
      <c r="F407" s="3" t="str">
        <f aca="false">IFERROR(__xludf.dummyfunction("GOOGLETRANSLATE(B407,""en"",""ar"")"),"رئيسي")</f>
        <v>رئيسي</v>
      </c>
      <c r="G407" s="3" t="n">
        <v>0</v>
      </c>
      <c r="H407" s="3" t="n">
        <v>0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1"/>
      <c r="B408" s="5" t="s">
        <v>494</v>
      </c>
      <c r="C408" s="1" t="n">
        <v>42</v>
      </c>
      <c r="D408" s="3"/>
      <c r="E408" s="3" t="s">
        <v>94</v>
      </c>
      <c r="F408" s="3" t="str">
        <f aca="false">IFERROR(__xludf.dummyfunction("GOOGLETRANSLATE(B408,""en"",""ar"")"),"عرض")</f>
        <v>عرض</v>
      </c>
      <c r="G408" s="3" t="n">
        <v>0</v>
      </c>
      <c r="H408" s="3" t="n">
        <v>0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1"/>
      <c r="B409" s="2" t="s">
        <v>495</v>
      </c>
      <c r="C409" s="1" t="n">
        <v>42</v>
      </c>
      <c r="D409" s="3"/>
      <c r="E409" s="3" t="s">
        <v>119</v>
      </c>
      <c r="F409" s="3" t="str">
        <f aca="false">IFERROR(__xludf.dummyfunction("GOOGLETRANSLATE(B409,""en"",""ar"")"),"نفط")</f>
        <v>نفط</v>
      </c>
      <c r="G409" s="3" t="n">
        <v>0</v>
      </c>
      <c r="H409" s="3" t="n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1"/>
      <c r="B410" s="2" t="s">
        <v>496</v>
      </c>
      <c r="C410" s="1" t="n">
        <v>42</v>
      </c>
      <c r="D410" s="3"/>
      <c r="E410" s="3" t="s">
        <v>119</v>
      </c>
      <c r="F410" s="3" t="str">
        <f aca="false">IFERROR(__xludf.dummyfunction("GOOGLETRANSLATE(B410,""en"",""ar"")"),"صورة")</f>
        <v>صورة</v>
      </c>
      <c r="G410" s="3" t="n">
        <v>0</v>
      </c>
      <c r="H410" s="3" t="n">
        <v>0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1"/>
      <c r="B411" s="2" t="s">
        <v>497</v>
      </c>
      <c r="C411" s="1" t="n">
        <v>42</v>
      </c>
      <c r="D411" s="3"/>
      <c r="E411" s="3" t="s">
        <v>235</v>
      </c>
      <c r="F411" s="3" t="str">
        <f aca="false">IFERROR(__xludf.dummyfunction("GOOGLETRANSLATE(B411,""en"",""ar"")"),"القدره")</f>
        <v>القدره</v>
      </c>
      <c r="G411" s="3" t="n">
        <v>0</v>
      </c>
      <c r="H411" s="3" t="n">
        <v>0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1"/>
      <c r="B412" s="2" t="s">
        <v>498</v>
      </c>
      <c r="C412" s="1" t="n">
        <v>42</v>
      </c>
      <c r="D412" s="3"/>
      <c r="E412" s="3" t="s">
        <v>235</v>
      </c>
      <c r="F412" s="3" t="str">
        <f aca="false">IFERROR(__xludf.dummyfunction("GOOGLETRANSLATE(B412,""en"",""ar"")"),"المحترفين")</f>
        <v>المحترفين</v>
      </c>
      <c r="G412" s="3" t="n">
        <v>0</v>
      </c>
      <c r="H412" s="3" t="n">
        <v>0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1"/>
      <c r="B413" s="5" t="s">
        <v>499</v>
      </c>
      <c r="C413" s="1" t="n">
        <v>42</v>
      </c>
      <c r="D413" s="3"/>
      <c r="E413" s="3" t="s">
        <v>42</v>
      </c>
      <c r="F413" s="3" t="str">
        <f aca="false">IFERROR(__xludf.dummyfunction("GOOGLETRANSLATE(B413,""en"",""ar"")"),"على الاصح")</f>
        <v>على الاصح</v>
      </c>
      <c r="G413" s="3" t="n">
        <v>0</v>
      </c>
      <c r="H413" s="3" t="n">
        <v>0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1"/>
      <c r="B414" s="2" t="s">
        <v>500</v>
      </c>
      <c r="C414" s="1" t="n">
        <v>41</v>
      </c>
      <c r="D414" s="3"/>
      <c r="E414" s="3" t="s">
        <v>128</v>
      </c>
      <c r="F414" s="3" t="str">
        <f aca="false">IFERROR(__xludf.dummyfunction("GOOGLETRANSLATE(B414,""en"",""ar"")"),"التمكن من")</f>
        <v>التمكن من</v>
      </c>
      <c r="G414" s="3" t="n">
        <v>0</v>
      </c>
      <c r="H414" s="3" t="n">
        <v>0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1"/>
      <c r="B415" s="2" t="s">
        <v>501</v>
      </c>
      <c r="C415" s="1" t="n">
        <v>41</v>
      </c>
      <c r="D415" s="3"/>
      <c r="E415" s="3" t="s">
        <v>112</v>
      </c>
      <c r="F415" s="3" t="str">
        <f aca="false">IFERROR(__xludf.dummyfunction("GOOGLETRANSLATE(B415,""en"",""ar"")"),"إضافي")</f>
        <v>إضافي</v>
      </c>
      <c r="G415" s="3" t="n">
        <v>0</v>
      </c>
      <c r="H415" s="3" t="n">
        <v>0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1"/>
      <c r="B416" s="2" t="s">
        <v>502</v>
      </c>
      <c r="C416" s="1" t="n">
        <v>41</v>
      </c>
      <c r="D416" s="3"/>
      <c r="E416" s="3" t="s">
        <v>42</v>
      </c>
      <c r="F416" s="3" t="str">
        <f aca="false">IFERROR(__xludf.dummyfunction("GOOGLETRANSLATE(B416,""en"",""ar"")"),"تقريبيا")</f>
        <v>تقريبيا</v>
      </c>
      <c r="G416" s="3" t="n">
        <v>0</v>
      </c>
      <c r="H416" s="3" t="n">
        <v>0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1"/>
      <c r="B417" s="2" t="s">
        <v>503</v>
      </c>
      <c r="C417" s="1" t="n">
        <v>41</v>
      </c>
      <c r="D417" s="3"/>
      <c r="E417" s="3" t="s">
        <v>42</v>
      </c>
      <c r="F417" s="3" t="str">
        <f aca="false">IFERROR(__xludf.dummyfunction("GOOGLETRANSLATE(B417,""en"",""ar"")"),"خاصة")</f>
        <v>خاصة</v>
      </c>
      <c r="G417" s="3" t="n">
        <v>0</v>
      </c>
      <c r="H417" s="3" t="n">
        <v>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1"/>
      <c r="B418" s="2" t="s">
        <v>504</v>
      </c>
      <c r="C418" s="1" t="n">
        <v>41</v>
      </c>
      <c r="D418" s="3"/>
      <c r="E418" s="3" t="s">
        <v>119</v>
      </c>
      <c r="F418" s="3" t="str">
        <f aca="false">IFERROR(__xludf.dummyfunction("GOOGLETRANSLATE(B418,""en"",""ar"")"),"حديقة")</f>
        <v>حديقة</v>
      </c>
      <c r="G418" s="3" t="n">
        <v>0</v>
      </c>
      <c r="H418" s="3" t="n">
        <v>0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1"/>
      <c r="B419" s="2" t="s">
        <v>505</v>
      </c>
      <c r="C419" s="1" t="n">
        <v>41</v>
      </c>
      <c r="D419" s="3"/>
      <c r="E419" s="3" t="s">
        <v>235</v>
      </c>
      <c r="F419" s="3" t="str">
        <f aca="false">IFERROR(__xludf.dummyfunction("GOOGLETRANSLATE(B419,""en"",""ar"")"),"دولي")</f>
        <v>دولي</v>
      </c>
      <c r="G419" s="3" t="n">
        <v>0</v>
      </c>
      <c r="H419" s="3" t="n">
        <v>0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1"/>
      <c r="B420" s="2" t="s">
        <v>506</v>
      </c>
      <c r="C420" s="1" t="n">
        <v>41</v>
      </c>
      <c r="D420" s="3"/>
      <c r="E420" s="3" t="s">
        <v>50</v>
      </c>
      <c r="F420" s="3" t="str">
        <f aca="false">IFERROR(__xludf.dummyfunction("GOOGLETRANSLATE(B420,""en"",""ar"")"),"أدنى")</f>
        <v>أدنى</v>
      </c>
      <c r="G420" s="3" t="n">
        <v>0</v>
      </c>
      <c r="H420" s="3" t="n">
        <v>0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1"/>
      <c r="B421" s="2" t="s">
        <v>507</v>
      </c>
      <c r="C421" s="1" t="n">
        <v>41</v>
      </c>
      <c r="D421" s="3"/>
      <c r="E421" s="3" t="s">
        <v>79</v>
      </c>
      <c r="F421" s="3" t="str">
        <f aca="false">IFERROR(__xludf.dummyfunction("GOOGLETRANSLATE(B421,""en"",""ar"")"),"إدارة")</f>
        <v>إدارة</v>
      </c>
      <c r="G421" s="3" t="n">
        <v>0</v>
      </c>
      <c r="H421" s="3" t="n">
        <v>0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1"/>
      <c r="B422" s="2" t="s">
        <v>508</v>
      </c>
      <c r="C422" s="1" t="n">
        <v>41</v>
      </c>
      <c r="D422" s="3"/>
      <c r="E422" s="3" t="s">
        <v>509</v>
      </c>
      <c r="F422" s="3" t="str">
        <f aca="false">IFERROR(__xludf.dummyfunction("GOOGLETRANSLATE(B422,""en"",""ar"")"),"افتح")</f>
        <v>افتح</v>
      </c>
      <c r="G422" s="3" t="n">
        <v>0</v>
      </c>
      <c r="H422" s="3" t="n">
        <v>0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1"/>
      <c r="B423" s="2" t="s">
        <v>510</v>
      </c>
      <c r="C423" s="1" t="n">
        <v>41</v>
      </c>
      <c r="D423" s="3"/>
      <c r="E423" s="3" t="s">
        <v>79</v>
      </c>
      <c r="F423" s="3" t="str">
        <f aca="false">IFERROR(__xludf.dummyfunction("GOOGLETRANSLATE(B423,""en"",""ar"")"),"لاعب")</f>
        <v>لاعب</v>
      </c>
      <c r="G423" s="3" t="n">
        <v>0</v>
      </c>
      <c r="H423" s="3" t="n">
        <v>0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1"/>
      <c r="B424" s="2" t="s">
        <v>511</v>
      </c>
      <c r="C424" s="1" t="n">
        <v>41</v>
      </c>
      <c r="D424" s="3"/>
      <c r="E424" s="3" t="s">
        <v>119</v>
      </c>
      <c r="F424" s="3" t="str">
        <f aca="false">IFERROR(__xludf.dummyfunction("GOOGLETRANSLATE(B424,""en"",""ar"")"),"نطاق")</f>
        <v>نطاق</v>
      </c>
      <c r="G424" s="3" t="n">
        <v>0</v>
      </c>
      <c r="H424" s="3" t="n">
        <v>0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1"/>
      <c r="B425" s="2" t="s">
        <v>512</v>
      </c>
      <c r="C425" s="1" t="n">
        <v>41</v>
      </c>
      <c r="D425" s="3"/>
      <c r="E425" s="3" t="s">
        <v>119</v>
      </c>
      <c r="F425" s="3" t="str">
        <f aca="false">IFERROR(__xludf.dummyfunction("GOOGLETRANSLATE(B425,""en"",""ar"")"),"معدل")</f>
        <v>معدل</v>
      </c>
      <c r="G425" s="3" t="n">
        <v>0</v>
      </c>
      <c r="H425" s="3" t="n">
        <v>0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1"/>
      <c r="B426" s="5" t="s">
        <v>513</v>
      </c>
      <c r="C426" s="1" t="n">
        <v>41</v>
      </c>
      <c r="D426" s="3"/>
      <c r="E426" s="3" t="s">
        <v>119</v>
      </c>
      <c r="F426" s="3" t="str">
        <f aca="false">IFERROR(__xludf.dummyfunction("GOOGLETRANSLATE(B426,""en"",""ar"")"),"السبب")</f>
        <v>السبب</v>
      </c>
      <c r="G426" s="3" t="n">
        <v>0</v>
      </c>
      <c r="H426" s="3" t="n">
        <v>0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1"/>
      <c r="B427" s="2" t="s">
        <v>514</v>
      </c>
      <c r="C427" s="1" t="n">
        <v>41</v>
      </c>
      <c r="D427" s="3"/>
      <c r="E427" s="3" t="s">
        <v>94</v>
      </c>
      <c r="F427" s="3" t="str">
        <f aca="false">IFERROR(__xludf.dummyfunction("GOOGLETRANSLATE(B427,""en"",""ar"")"),"السفر")</f>
        <v>السفر</v>
      </c>
      <c r="G427" s="3" t="n">
        <v>0</v>
      </c>
      <c r="H427" s="3" t="n">
        <v>0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1"/>
      <c r="B428" s="6" t="s">
        <v>515</v>
      </c>
      <c r="C428" s="1" t="n">
        <v>41</v>
      </c>
      <c r="D428" s="3"/>
      <c r="E428" s="3" t="s">
        <v>79</v>
      </c>
      <c r="F428" s="3" t="str">
        <f aca="false">IFERROR(__xludf.dummyfunction("GOOGLETRANSLATE(B428,""en"",""ar"")"),"تشكيلة")</f>
        <v>تشكيلة</v>
      </c>
      <c r="G428" s="3" t="n">
        <v>0</v>
      </c>
      <c r="H428" s="3" t="n">
        <v>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1"/>
      <c r="B429" s="2" t="s">
        <v>516</v>
      </c>
      <c r="C429" s="1" t="n">
        <v>41</v>
      </c>
      <c r="D429" s="3"/>
      <c r="E429" s="3" t="s">
        <v>79</v>
      </c>
      <c r="F429" s="3" t="str">
        <f aca="false">IFERROR(__xludf.dummyfunction("GOOGLETRANSLATE(B429,""en"",""ar"")"),"فيديو")</f>
        <v>فيديو</v>
      </c>
      <c r="G429" s="3" t="n">
        <v>0</v>
      </c>
      <c r="H429" s="3" t="n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1"/>
      <c r="B430" s="2" t="s">
        <v>517</v>
      </c>
      <c r="C430" s="1" t="n">
        <v>41</v>
      </c>
      <c r="D430" s="3"/>
      <c r="E430" s="3" t="s">
        <v>79</v>
      </c>
      <c r="F430" s="3" t="str">
        <f aca="false">IFERROR(__xludf.dummyfunction("GOOGLETRANSLATE(B430,""en"",""ar"")"),"أسبوع")</f>
        <v>أسبوع</v>
      </c>
      <c r="G430" s="3" t="n">
        <v>0</v>
      </c>
      <c r="H430" s="3" t="n">
        <v>0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1"/>
      <c r="B431" s="2" t="s">
        <v>518</v>
      </c>
      <c r="C431" s="1" t="n">
        <v>40</v>
      </c>
      <c r="D431" s="3"/>
      <c r="E431" s="3" t="s">
        <v>98</v>
      </c>
      <c r="F431" s="3" t="str">
        <f aca="false">IFERROR(__xludf.dummyfunction("GOOGLETRANSLATE(B431,""en"",""ar"")"),"في الاعلى")</f>
        <v>في الاعلى</v>
      </c>
      <c r="G431" s="3" t="n">
        <v>0</v>
      </c>
      <c r="H431" s="3" t="n">
        <v>0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1"/>
      <c r="B432" s="2" t="s">
        <v>519</v>
      </c>
      <c r="C432" s="1" t="n">
        <v>40</v>
      </c>
      <c r="D432" s="3"/>
      <c r="E432" s="3" t="s">
        <v>179</v>
      </c>
      <c r="F432" s="3" t="str">
        <f aca="false">IFERROR(__xludf.dummyfunction("GOOGLETRANSLATE(B432,""en"",""ar"")"),"تبعا")</f>
        <v>تبعا</v>
      </c>
      <c r="G432" s="3" t="n">
        <v>0</v>
      </c>
      <c r="H432" s="3" t="n">
        <v>0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1"/>
      <c r="B433" s="2" t="s">
        <v>520</v>
      </c>
      <c r="C433" s="1" t="n">
        <v>40</v>
      </c>
      <c r="D433" s="3"/>
      <c r="E433" s="3" t="s">
        <v>94</v>
      </c>
      <c r="F433" s="3" t="str">
        <f aca="false">IFERROR(__xludf.dummyfunction("GOOGLETRANSLATE(B433,""en"",""ar"")"),"يطبخ")</f>
        <v>يطبخ</v>
      </c>
      <c r="G433" s="3" t="n">
        <v>0</v>
      </c>
      <c r="H433" s="3" t="n">
        <v>0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1"/>
      <c r="B434" s="2" t="s">
        <v>521</v>
      </c>
      <c r="C434" s="1" t="n">
        <v>40</v>
      </c>
      <c r="D434" s="3"/>
      <c r="E434" s="3" t="s">
        <v>12</v>
      </c>
      <c r="F434" s="3" t="str">
        <f aca="false">IFERROR(__xludf.dummyfunction("GOOGLETRANSLATE(B434,""en"",""ar"")"),"تحديد")</f>
        <v>تحديد</v>
      </c>
      <c r="G434" s="3" t="n">
        <v>0</v>
      </c>
      <c r="H434" s="3" t="n">
        <v>0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1"/>
      <c r="B435" s="2" t="s">
        <v>522</v>
      </c>
      <c r="C435" s="1" t="n">
        <v>40</v>
      </c>
      <c r="D435" s="3"/>
      <c r="E435" s="3" t="s">
        <v>148</v>
      </c>
      <c r="F435" s="3" t="str">
        <f aca="false">IFERROR(__xludf.dummyfunction("GOOGLETRANSLATE(B435,""en"",""ar"")"),"مستقبل")</f>
        <v>مستقبل</v>
      </c>
      <c r="G435" s="3" t="n">
        <v>0</v>
      </c>
      <c r="H435" s="3" t="n">
        <v>0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1"/>
      <c r="B436" s="2" t="s">
        <v>523</v>
      </c>
      <c r="C436" s="1" t="n">
        <v>40</v>
      </c>
      <c r="D436" s="3"/>
      <c r="E436" s="3" t="s">
        <v>119</v>
      </c>
      <c r="F436" s="3" t="str">
        <f aca="false">IFERROR(__xludf.dummyfunction("GOOGLETRANSLATE(B436,""en"",""ar"")"),"موقع")</f>
        <v>موقع</v>
      </c>
      <c r="G436" s="3" t="n">
        <v>0</v>
      </c>
      <c r="H436" s="3" t="n">
        <v>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1"/>
      <c r="B437" s="2" t="s">
        <v>524</v>
      </c>
      <c r="C437" s="1" t="n">
        <v>39</v>
      </c>
      <c r="D437" s="3"/>
      <c r="E437" s="3" t="s">
        <v>235</v>
      </c>
      <c r="F437" s="3" t="str">
        <f aca="false">IFERROR(__xludf.dummyfunction("GOOGLETRANSLATE(B437,""en"",""ar"")"),"لبديل")</f>
        <v>لبديل</v>
      </c>
      <c r="G437" s="3" t="n">
        <v>0</v>
      </c>
      <c r="H437" s="3" t="n">
        <v>0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1"/>
      <c r="B438" s="2" t="s">
        <v>525</v>
      </c>
      <c r="C438" s="1" t="n">
        <v>39</v>
      </c>
      <c r="D438" s="3"/>
      <c r="E438" s="3" t="s">
        <v>119</v>
      </c>
      <c r="F438" s="3" t="str">
        <f aca="false">IFERROR(__xludf.dummyfunction("GOOGLETRANSLATE(B438,""en"",""ar"")"),"الطلب")</f>
        <v>الطلب</v>
      </c>
      <c r="G438" s="3" t="n">
        <v>0</v>
      </c>
      <c r="H438" s="3" t="n">
        <v>0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1"/>
      <c r="B439" s="2" t="s">
        <v>526</v>
      </c>
      <c r="C439" s="1" t="n">
        <v>39</v>
      </c>
      <c r="D439" s="3"/>
      <c r="E439" s="3" t="s">
        <v>42</v>
      </c>
      <c r="F439" s="3" t="str">
        <f aca="false">IFERROR(__xludf.dummyfunction("GOOGLETRANSLATE(B439,""en"",""ar"")"),"أبدا")</f>
        <v>أبدا</v>
      </c>
      <c r="G439" s="3" t="n">
        <v>0</v>
      </c>
      <c r="H439" s="3" t="n">
        <v>0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1"/>
      <c r="B440" s="2" t="s">
        <v>527</v>
      </c>
      <c r="C440" s="1" t="n">
        <v>39</v>
      </c>
      <c r="D440" s="3"/>
      <c r="E440" s="3" t="s">
        <v>119</v>
      </c>
      <c r="F440" s="3" t="str">
        <f aca="false">IFERROR(__xludf.dummyfunction("GOOGLETRANSLATE(B440,""en"",""ar"")"),"ممارسه الرياضه")</f>
        <v>ممارسه الرياضه</v>
      </c>
      <c r="G440" s="3" t="n">
        <v>0</v>
      </c>
      <c r="H440" s="3" t="n">
        <v>0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1"/>
      <c r="B441" s="2" t="s">
        <v>528</v>
      </c>
      <c r="C441" s="1" t="n">
        <v>39</v>
      </c>
      <c r="D441" s="3"/>
      <c r="E441" s="3" t="s">
        <v>529</v>
      </c>
      <c r="F441" s="3" t="str">
        <f aca="false">IFERROR(__xludf.dummyfunction("GOOGLETRANSLATE(B441,""en"",""ar"")"),"التالية")</f>
        <v>التالية</v>
      </c>
      <c r="G441" s="3" t="n">
        <v>0</v>
      </c>
      <c r="H441" s="3" t="n">
        <v>0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1"/>
      <c r="B442" s="2" t="s">
        <v>530</v>
      </c>
      <c r="C442" s="1" t="n">
        <v>39</v>
      </c>
      <c r="D442" s="3"/>
      <c r="E442" s="3" t="s">
        <v>119</v>
      </c>
      <c r="F442" s="3" t="str">
        <f aca="false">IFERROR(__xludf.dummyfunction("GOOGLETRANSLATE(B442,""en"",""ar"")"),"صورة")</f>
        <v>صورة</v>
      </c>
      <c r="G442" s="3" t="n">
        <v>0</v>
      </c>
      <c r="H442" s="3" t="n">
        <v>0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1"/>
      <c r="B443" s="2" t="s">
        <v>531</v>
      </c>
      <c r="C443" s="1" t="n">
        <v>39</v>
      </c>
      <c r="D443" s="3"/>
      <c r="E443" s="3" t="s">
        <v>42</v>
      </c>
      <c r="F443" s="3" t="str">
        <f aca="false">IFERROR(__xludf.dummyfunction("GOOGLETRANSLATE(B443,""en"",""ar"")"),"بسرعة")</f>
        <v>بسرعة</v>
      </c>
      <c r="G443" s="3" t="n">
        <v>0</v>
      </c>
      <c r="H443" s="3" t="n">
        <v>0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1"/>
      <c r="B444" s="2" t="s">
        <v>532</v>
      </c>
      <c r="C444" s="1" t="n">
        <v>39</v>
      </c>
      <c r="D444" s="3"/>
      <c r="E444" s="3" t="s">
        <v>235</v>
      </c>
      <c r="F444" s="3" t="str">
        <f aca="false">IFERROR(__xludf.dummyfunction("GOOGLETRANSLATE(B444,""en"",""ar"")"),"خاص")</f>
        <v>خاص</v>
      </c>
      <c r="G444" s="3" t="n">
        <v>0</v>
      </c>
      <c r="H444" s="3" t="n">
        <v>0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1"/>
      <c r="B445" s="2" t="s">
        <v>533</v>
      </c>
      <c r="C445" s="1" t="n">
        <v>39</v>
      </c>
      <c r="D445" s="3"/>
      <c r="E445" s="3" t="s">
        <v>235</v>
      </c>
      <c r="F445" s="3" t="str">
        <f aca="false">IFERROR(__xludf.dummyfunction("GOOGLETRANSLATE(B445,""en"",""ar"")"),"عمل")</f>
        <v>عمل</v>
      </c>
      <c r="G445" s="3" t="n">
        <v>0</v>
      </c>
      <c r="H445" s="3" t="n">
        <v>0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1"/>
      <c r="B446" s="2" t="s">
        <v>534</v>
      </c>
      <c r="C446" s="1" t="n">
        <v>38</v>
      </c>
      <c r="D446" s="3"/>
      <c r="E446" s="3" t="s">
        <v>119</v>
      </c>
      <c r="F446" s="3" t="str">
        <f aca="false">IFERROR(__xludf.dummyfunction("GOOGLETRANSLATE(B446,""en"",""ar"")"),"قضية")</f>
        <v>قضية</v>
      </c>
      <c r="G446" s="3" t="n">
        <v>0</v>
      </c>
      <c r="H446" s="3" t="n">
        <v>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1"/>
      <c r="B447" s="6" t="s">
        <v>535</v>
      </c>
      <c r="C447" s="1" t="n">
        <v>38</v>
      </c>
      <c r="D447" s="3"/>
      <c r="E447" s="3" t="s">
        <v>119</v>
      </c>
      <c r="F447" s="3" t="str">
        <f aca="false">IFERROR(__xludf.dummyfunction("GOOGLETRANSLATE(B447,""en"",""ar"")"),"موجه")</f>
        <v>موجه</v>
      </c>
      <c r="G447" s="3" t="n">
        <v>0</v>
      </c>
      <c r="H447" s="3" t="n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1"/>
      <c r="B448" s="6" t="s">
        <v>536</v>
      </c>
      <c r="C448" s="1" t="n">
        <v>38</v>
      </c>
      <c r="D448" s="3"/>
      <c r="E448" s="3" t="s">
        <v>119</v>
      </c>
      <c r="F448" s="3" t="str">
        <f aca="false">IFERROR(__xludf.dummyfunction("GOOGLETRANSLATE(B448,""en"",""ar"")"),"ساحل")</f>
        <v>ساحل</v>
      </c>
      <c r="G448" s="3" t="n">
        <v>0</v>
      </c>
      <c r="H448" s="3" t="n">
        <v>0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1"/>
      <c r="B449" s="2" t="s">
        <v>537</v>
      </c>
      <c r="C449" s="1" t="n">
        <v>38</v>
      </c>
      <c r="D449" s="3"/>
      <c r="E449" s="3" t="s">
        <v>42</v>
      </c>
      <c r="F449" s="3" t="str">
        <f aca="false">IFERROR(__xludf.dummyfunction("GOOGLETRANSLATE(B449,""en"",""ar"")"),"المحتمل")</f>
        <v>المحتمل</v>
      </c>
      <c r="G449" s="3" t="n">
        <v>0</v>
      </c>
      <c r="H449" s="3" t="n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1"/>
      <c r="B450" s="2" t="s">
        <v>538</v>
      </c>
      <c r="C450" s="1" t="n">
        <v>38</v>
      </c>
      <c r="D450" s="3"/>
      <c r="E450" s="3" t="s">
        <v>79</v>
      </c>
      <c r="F450" s="3" t="str">
        <f aca="false">IFERROR(__xludf.dummyfunction("GOOGLETRANSLATE(B450,""en"",""ar"")"),"الأمان")</f>
        <v>الأمان</v>
      </c>
      <c r="G450" s="3" t="n">
        <v>0</v>
      </c>
      <c r="H450" s="3" t="n">
        <v>0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1"/>
      <c r="B451" s="7" t="b">
        <v>1</v>
      </c>
      <c r="C451" s="1" t="n">
        <v>38</v>
      </c>
      <c r="D451" s="3"/>
      <c r="E451" s="3" t="s">
        <v>199</v>
      </c>
      <c r="F451" s="3" t="s">
        <v>539</v>
      </c>
      <c r="G451" s="3" t="n">
        <v>0</v>
      </c>
      <c r="H451" s="3" t="n">
        <v>0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1"/>
      <c r="B452" s="2" t="s">
        <v>540</v>
      </c>
      <c r="C452" s="1" t="n">
        <v>38</v>
      </c>
      <c r="D452" s="3"/>
      <c r="E452" s="3" t="s">
        <v>77</v>
      </c>
      <c r="F452" s="3" t="str">
        <f aca="false">IFERROR(__xludf.dummyfunction("GOOGLETRANSLATE(B452,""en"",""ar"")"),"كل")</f>
        <v>كل</v>
      </c>
      <c r="G452" s="3" t="n">
        <v>0</v>
      </c>
      <c r="H452" s="3" t="n">
        <v>0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1"/>
      <c r="B453" s="2" t="s">
        <v>541</v>
      </c>
      <c r="C453" s="1" t="n">
        <v>37</v>
      </c>
      <c r="D453" s="3"/>
      <c r="E453" s="3" t="s">
        <v>148</v>
      </c>
      <c r="F453" s="3" t="str">
        <f aca="false">IFERROR(__xludf.dummyfunction("GOOGLETRANSLATE(B453,""en"",""ar"")"),"عمل")</f>
        <v>عمل</v>
      </c>
      <c r="G453" s="3" t="n">
        <v>0</v>
      </c>
      <c r="H453" s="3" t="n">
        <v>0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1"/>
      <c r="B454" s="2" t="s">
        <v>542</v>
      </c>
      <c r="C454" s="1" t="n">
        <v>37</v>
      </c>
      <c r="D454" s="3"/>
      <c r="E454" s="3" t="s">
        <v>119</v>
      </c>
      <c r="F454" s="3" t="str">
        <f aca="false">IFERROR(__xludf.dummyfunction("GOOGLETRANSLATE(B454,""en"",""ar"")"),"سن")</f>
        <v>سن</v>
      </c>
      <c r="G454" s="3" t="n">
        <v>0</v>
      </c>
      <c r="H454" s="3" t="n">
        <v>0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1"/>
      <c r="B455" s="2" t="s">
        <v>543</v>
      </c>
      <c r="C455" s="1" t="n">
        <v>37</v>
      </c>
      <c r="D455" s="3"/>
      <c r="E455" s="3" t="s">
        <v>32</v>
      </c>
      <c r="F455" s="3" t="str">
        <f aca="false">IFERROR(__xludf.dummyfunction("GOOGLETRANSLATE(B455,""en"",""ar"")"),"ضمن")</f>
        <v>ضمن</v>
      </c>
      <c r="G455" s="3" t="n">
        <v>0</v>
      </c>
      <c r="H455" s="3" t="n">
        <v>0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1"/>
      <c r="B456" s="2" t="s">
        <v>544</v>
      </c>
      <c r="C456" s="1" t="n">
        <v>37</v>
      </c>
      <c r="D456" s="3"/>
      <c r="E456" s="3" t="s">
        <v>545</v>
      </c>
      <c r="F456" s="3" t="str">
        <f aca="false">IFERROR(__xludf.dummyfunction("GOOGLETRANSLATE(B456,""en"",""ar"")"),"سيئ")</f>
        <v>سيئ</v>
      </c>
      <c r="G456" s="3" t="n">
        <v>0</v>
      </c>
      <c r="H456" s="3" t="n">
        <v>0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1"/>
      <c r="B457" s="6" t="s">
        <v>546</v>
      </c>
      <c r="C457" s="1" t="n">
        <v>37</v>
      </c>
      <c r="D457" s="3"/>
      <c r="E457" s="3" t="s">
        <v>119</v>
      </c>
      <c r="F457" s="3" t="str">
        <f aca="false">IFERROR(__xludf.dummyfunction("GOOGLETRANSLATE(B457,""en"",""ar"")"),"قارب")</f>
        <v>قارب</v>
      </c>
      <c r="G457" s="3" t="n">
        <v>0</v>
      </c>
      <c r="H457" s="3" t="n">
        <v>0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1"/>
      <c r="B458" s="2" t="s">
        <v>547</v>
      </c>
      <c r="C458" s="1" t="n">
        <v>37</v>
      </c>
      <c r="D458" s="3"/>
      <c r="E458" s="3" t="s">
        <v>79</v>
      </c>
      <c r="F458" s="3" t="str">
        <f aca="false">IFERROR(__xludf.dummyfunction("GOOGLETRANSLATE(B458,""en"",""ar"")"),"بلد")</f>
        <v>بلد</v>
      </c>
      <c r="G458" s="3" t="n">
        <v>0</v>
      </c>
      <c r="H458" s="3" t="n">
        <v>0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1"/>
      <c r="B459" s="2" t="s">
        <v>548</v>
      </c>
      <c r="C459" s="1" t="n">
        <v>37</v>
      </c>
      <c r="D459" s="3"/>
      <c r="E459" s="3" t="s">
        <v>94</v>
      </c>
      <c r="F459" s="3" t="str">
        <f aca="false">IFERROR(__xludf.dummyfunction("GOOGLETRANSLATE(B459,""en"",""ar"")"),"الرقص")</f>
        <v>الرقص</v>
      </c>
      <c r="G459" s="3" t="n">
        <v>0</v>
      </c>
      <c r="H459" s="3" t="n">
        <v>0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1"/>
      <c r="B460" s="2" t="s">
        <v>549</v>
      </c>
      <c r="C460" s="1" t="n">
        <v>37</v>
      </c>
      <c r="D460" s="3"/>
      <c r="E460" s="3" t="s">
        <v>79</v>
      </c>
      <c r="F460" s="3" t="str">
        <f aca="false">IFERROR(__xludf.dummyfunction("GOOGLETRANSLATE(B460,""en"",""ar"")"),"امتحان")</f>
        <v>امتحان</v>
      </c>
      <c r="G460" s="3" t="n">
        <v>0</v>
      </c>
      <c r="H460" s="3" t="n">
        <v>0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1"/>
      <c r="B461" s="2" t="s">
        <v>550</v>
      </c>
      <c r="C461" s="1" t="n">
        <v>37</v>
      </c>
      <c r="D461" s="3"/>
      <c r="E461" s="3" t="s">
        <v>94</v>
      </c>
      <c r="F461" s="3" t="str">
        <f aca="false">IFERROR(__xludf.dummyfunction("GOOGLETRANSLATE(B461,""en"",""ar"")"),"عذر")</f>
        <v>عذر</v>
      </c>
      <c r="G461" s="3" t="n">
        <v>0</v>
      </c>
      <c r="H461" s="3" t="n">
        <v>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1"/>
      <c r="B462" s="6" t="s">
        <v>551</v>
      </c>
      <c r="C462" s="1" t="n">
        <v>37</v>
      </c>
      <c r="D462" s="3"/>
      <c r="E462" s="3" t="s">
        <v>12</v>
      </c>
      <c r="F462" s="3" t="str">
        <f aca="false">IFERROR(__xludf.dummyfunction("GOOGLETRANSLATE(B462,""en"",""ar"")"),"تنمو")</f>
        <v>تنمو</v>
      </c>
      <c r="G462" s="3" t="n">
        <v>0</v>
      </c>
      <c r="H462" s="3" t="n">
        <v>0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1"/>
      <c r="B463" s="2" t="s">
        <v>552</v>
      </c>
      <c r="C463" s="1" t="n">
        <v>37</v>
      </c>
      <c r="D463" s="3"/>
      <c r="E463" s="3" t="s">
        <v>79</v>
      </c>
      <c r="F463" s="3" t="str">
        <f aca="false">IFERROR(__xludf.dummyfunction("GOOGLETRANSLATE(B463,""en"",""ar"")"),"فيلم")</f>
        <v>فيلم</v>
      </c>
      <c r="G463" s="3" t="n">
        <v>0</v>
      </c>
      <c r="H463" s="3" t="n">
        <v>0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1"/>
      <c r="B464" s="2" t="s">
        <v>553</v>
      </c>
      <c r="C464" s="1" t="n">
        <v>37</v>
      </c>
      <c r="D464" s="3"/>
      <c r="E464" s="3" t="s">
        <v>79</v>
      </c>
      <c r="F464" s="3" t="str">
        <f aca="false">IFERROR(__xludf.dummyfunction("GOOGLETRANSLATE(B464,""en"",""ar"")"),"منظمة")</f>
        <v>منظمة</v>
      </c>
      <c r="G464" s="3" t="n">
        <v>0</v>
      </c>
      <c r="H464" s="3" t="n">
        <v>0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1"/>
      <c r="B465" s="2" t="s">
        <v>554</v>
      </c>
      <c r="C465" s="1" t="n">
        <v>37</v>
      </c>
      <c r="D465" s="3"/>
      <c r="E465" s="3" t="s">
        <v>119</v>
      </c>
      <c r="F465" s="3" t="str">
        <f aca="false">IFERROR(__xludf.dummyfunction("GOOGLETRANSLATE(B465,""en"",""ar"")"),"سجل")</f>
        <v>سجل</v>
      </c>
      <c r="G465" s="3" t="n">
        <v>0</v>
      </c>
      <c r="H465" s="3" t="n">
        <v>0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1"/>
      <c r="B466" s="2" t="s">
        <v>555</v>
      </c>
      <c r="C466" s="1" t="n">
        <v>37</v>
      </c>
      <c r="D466" s="3"/>
      <c r="E466" s="3" t="s">
        <v>119</v>
      </c>
      <c r="F466" s="3" t="str">
        <f aca="false">IFERROR(__xludf.dummyfunction("GOOGLETRANSLATE(B466,""en"",""ar"")"),"نتيجة")</f>
        <v>نتيجة</v>
      </c>
      <c r="G466" s="3" t="n">
        <v>0</v>
      </c>
      <c r="H466" s="3" t="n">
        <v>0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1"/>
      <c r="B467" s="2" t="s">
        <v>556</v>
      </c>
      <c r="C467" s="1" t="n">
        <v>37</v>
      </c>
      <c r="D467" s="3"/>
      <c r="E467" s="3" t="s">
        <v>119</v>
      </c>
      <c r="F467" s="3" t="str">
        <f aca="false">IFERROR(__xludf.dummyfunction("GOOGLETRANSLATE(B467,""en"",""ar"")"),"القطاع الثامن")</f>
        <v>القطاع الثامن</v>
      </c>
      <c r="G467" s="3" t="n">
        <v>0</v>
      </c>
      <c r="H467" s="3" t="n">
        <v>0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1"/>
      <c r="B468" s="2" t="s">
        <v>557</v>
      </c>
      <c r="C468" s="1" t="n">
        <v>36</v>
      </c>
      <c r="D468" s="3"/>
      <c r="E468" s="3" t="s">
        <v>28</v>
      </c>
      <c r="F468" s="3" t="str">
        <f aca="false">IFERROR(__xludf.dummyfunction("GOOGLETRANSLATE(B468,""en"",""ar"")"),"عير")</f>
        <v>عير</v>
      </c>
      <c r="G468" s="3" t="n">
        <v>0</v>
      </c>
      <c r="H468" s="3" t="n">
        <v>0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1"/>
      <c r="B469" s="2" t="s">
        <v>558</v>
      </c>
      <c r="C469" s="1" t="n">
        <v>36</v>
      </c>
      <c r="D469" s="3"/>
      <c r="E469" s="3" t="s">
        <v>42</v>
      </c>
      <c r="F469" s="3" t="str">
        <f aca="false">IFERROR(__xludf.dummyfunction("GOOGLETRANSLATE(B469,""en"",""ar"")"),"سابقا")</f>
        <v>سابقا</v>
      </c>
      <c r="G469" s="3" t="n">
        <v>0</v>
      </c>
      <c r="H469" s="3" t="n">
        <v>0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1"/>
      <c r="B470" s="2" t="s">
        <v>559</v>
      </c>
      <c r="C470" s="1" t="n">
        <v>36</v>
      </c>
      <c r="D470" s="3"/>
      <c r="E470" s="3" t="s">
        <v>42</v>
      </c>
      <c r="F470" s="3" t="str">
        <f aca="false">IFERROR(__xludf.dummyfunction("GOOGLETRANSLATE(B470,""en"",""ar"")"),"أدناه")</f>
        <v>أدناه</v>
      </c>
      <c r="G470" s="3" t="n">
        <v>0</v>
      </c>
      <c r="H470" s="3" t="n">
        <v>0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1"/>
      <c r="B471" s="2" t="s">
        <v>560</v>
      </c>
      <c r="C471" s="1" t="n">
        <v>36</v>
      </c>
      <c r="D471" s="3"/>
      <c r="E471" s="3" t="s">
        <v>119</v>
      </c>
      <c r="F471" s="3" t="str">
        <f aca="false">IFERROR(__xludf.dummyfunction("GOOGLETRANSLATE(B471,""en"",""ar"")"),"بناء")</f>
        <v>بناء</v>
      </c>
      <c r="G471" s="3" t="n">
        <v>0</v>
      </c>
      <c r="H471" s="3" t="n">
        <v>0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1"/>
      <c r="B472" s="2" t="s">
        <v>561</v>
      </c>
      <c r="C472" s="1" t="n">
        <v>36</v>
      </c>
      <c r="D472" s="3"/>
      <c r="E472" s="3" t="s">
        <v>119</v>
      </c>
      <c r="F472" s="3" t="str">
        <f aca="false">IFERROR(__xludf.dummyfunction("GOOGLETRANSLATE(B472,""en"",""ar"")"),"الفأر")</f>
        <v>الفأر</v>
      </c>
      <c r="G472" s="3" t="n">
        <v>0</v>
      </c>
      <c r="H472" s="3" t="n">
        <v>0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1"/>
      <c r="B473" s="2" t="s">
        <v>562</v>
      </c>
      <c r="C473" s="1" t="n">
        <v>35</v>
      </c>
      <c r="D473" s="3"/>
      <c r="E473" s="3" t="s">
        <v>12</v>
      </c>
      <c r="F473" s="3" t="str">
        <f aca="false">IFERROR(__xludf.dummyfunction("GOOGLETRANSLATE(B473,""en"",""ar"")"),"تسمح")</f>
        <v>تسمح</v>
      </c>
      <c r="G473" s="3" t="n">
        <v>0</v>
      </c>
      <c r="H473" s="3" t="n">
        <v>0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1"/>
      <c r="B474" s="2" t="s">
        <v>563</v>
      </c>
      <c r="C474" s="1" t="n">
        <v>35</v>
      </c>
      <c r="D474" s="3"/>
      <c r="E474" s="3" t="s">
        <v>119</v>
      </c>
      <c r="F474" s="3" t="str">
        <f aca="false">IFERROR(__xludf.dummyfunction("GOOGLETRANSLATE(B474,""en"",""ar"")"),"السيولة النقدية")</f>
        <v>السيولة النقدية</v>
      </c>
      <c r="G474" s="3" t="n">
        <v>0</v>
      </c>
      <c r="H474" s="3" t="n">
        <v>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1"/>
      <c r="B475" s="2" t="s">
        <v>564</v>
      </c>
      <c r="C475" s="1" t="n">
        <v>35</v>
      </c>
      <c r="D475" s="3"/>
      <c r="E475" s="3" t="s">
        <v>128</v>
      </c>
      <c r="F475" s="3" t="str">
        <f aca="false">IFERROR(__xludf.dummyfunction("GOOGLETRANSLATE(B475,""en"",""ar"")"),"صف دراسي")</f>
        <v>صف دراسي</v>
      </c>
      <c r="G475" s="3" t="n">
        <v>0</v>
      </c>
      <c r="H475" s="3" t="n">
        <v>0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1"/>
      <c r="B476" s="2" t="s">
        <v>565</v>
      </c>
      <c r="C476" s="1" t="n">
        <v>35</v>
      </c>
      <c r="D476" s="3"/>
      <c r="E476" s="3" t="s">
        <v>199</v>
      </c>
      <c r="F476" s="3" t="str">
        <f aca="false">IFERROR(__xludf.dummyfunction("GOOGLETRANSLATE(B476,""en"",""ar"")"),"صافي")</f>
        <v>صافي</v>
      </c>
      <c r="G476" s="3" t="n">
        <v>0</v>
      </c>
      <c r="H476" s="3" t="n">
        <v>0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1"/>
      <c r="B477" s="6" t="s">
        <v>566</v>
      </c>
      <c r="C477" s="1" t="n">
        <v>35</v>
      </c>
      <c r="D477" s="3"/>
      <c r="E477" s="3" t="s">
        <v>509</v>
      </c>
      <c r="F477" s="3" t="str">
        <f aca="false">IFERROR(__xludf.dummyfunction("GOOGLETRANSLATE(B477,""en"",""ar"")"),"جاف")</f>
        <v>جاف</v>
      </c>
      <c r="G477" s="3" t="n">
        <v>0</v>
      </c>
      <c r="H477" s="3" t="n">
        <v>0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1"/>
      <c r="B478" s="2" t="s">
        <v>567</v>
      </c>
      <c r="C478" s="1" t="n">
        <v>35</v>
      </c>
      <c r="D478" s="3"/>
      <c r="E478" s="3" t="s">
        <v>269</v>
      </c>
      <c r="F478" s="3" t="str">
        <f aca="false">IFERROR(__xludf.dummyfunction("GOOGLETRANSLATE(B478,""en"",""ar"")"),"سهل")</f>
        <v>سهل</v>
      </c>
      <c r="G478" s="3" t="n">
        <v>0</v>
      </c>
      <c r="H478" s="3" t="n">
        <v>0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1"/>
      <c r="B479" s="2" t="s">
        <v>568</v>
      </c>
      <c r="C479" s="1" t="n">
        <v>35</v>
      </c>
      <c r="D479" s="3"/>
      <c r="E479" s="3" t="s">
        <v>112</v>
      </c>
      <c r="F479" s="3" t="str">
        <f aca="false">IFERROR(__xludf.dummyfunction("GOOGLETRANSLATE(B479,""en"",""ar"")"),"عاطفي")</f>
        <v>عاطفي</v>
      </c>
      <c r="G479" s="3" t="n">
        <v>0</v>
      </c>
      <c r="H479" s="3" t="n">
        <v>0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1"/>
      <c r="B480" s="2" t="s">
        <v>569</v>
      </c>
      <c r="C480" s="1" t="n">
        <v>35</v>
      </c>
      <c r="D480" s="3"/>
      <c r="E480" s="3" t="s">
        <v>79</v>
      </c>
      <c r="F480" s="3" t="str">
        <f aca="false">IFERROR(__xludf.dummyfunction("GOOGLETRANSLATE(B480,""en"",""ar"")"),"معدات")</f>
        <v>معدات</v>
      </c>
      <c r="G480" s="3" t="n">
        <v>0</v>
      </c>
      <c r="H480" s="3" t="n">
        <v>0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1"/>
      <c r="B481" s="2" t="s">
        <v>570</v>
      </c>
      <c r="C481" s="1" t="n">
        <v>35</v>
      </c>
      <c r="D481" s="8"/>
      <c r="E481" s="8" t="s">
        <v>571</v>
      </c>
      <c r="F481" s="8" t="str">
        <f aca="false">IFERROR(__xludf.dummyfunction("GOOGLETRANSLATE(B481,""en"",""ar"")"),"حي")</f>
        <v>حي</v>
      </c>
      <c r="G481" s="3" t="n">
        <v>0</v>
      </c>
      <c r="H481" s="3" t="n">
        <v>0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4.25" hidden="false" customHeight="true" outlineLevel="0" collapsed="false">
      <c r="A482" s="1"/>
      <c r="B482" s="2" t="s">
        <v>572</v>
      </c>
      <c r="C482" s="1" t="n">
        <v>35</v>
      </c>
      <c r="D482" s="3"/>
      <c r="E482" s="3" t="s">
        <v>573</v>
      </c>
      <c r="F482" s="3" t="str">
        <f aca="false">IFERROR(__xludf.dummyfunction("GOOGLETRANSLATE(B482,""en"",""ar"")"),"لا شيئ")</f>
        <v>لا شيئ</v>
      </c>
      <c r="G482" s="3" t="n">
        <v>0</v>
      </c>
      <c r="H482" s="3" t="n">
        <v>0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1"/>
      <c r="B483" s="2" t="s">
        <v>574</v>
      </c>
      <c r="C483" s="1" t="n">
        <v>35</v>
      </c>
      <c r="D483" s="3"/>
      <c r="E483" s="3" t="s">
        <v>148</v>
      </c>
      <c r="F483" s="3" t="str">
        <f aca="false">IFERROR(__xludf.dummyfunction("GOOGLETRANSLATE(B483,""en"",""ar"")"),"فترة")</f>
        <v>فترة</v>
      </c>
      <c r="G483" s="3" t="n">
        <v>0</v>
      </c>
      <c r="H483" s="3" t="n">
        <v>0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1"/>
      <c r="B484" s="2" t="s">
        <v>575</v>
      </c>
      <c r="C484" s="1" t="n">
        <v>35</v>
      </c>
      <c r="D484" s="3"/>
      <c r="E484" s="3" t="s">
        <v>79</v>
      </c>
      <c r="F484" s="3" t="str">
        <f aca="false">IFERROR(__xludf.dummyfunction("GOOGLETRANSLATE(B484,""en"",""ar"")"),"الفيزياء")</f>
        <v>الفيزياء</v>
      </c>
      <c r="G484" s="3" t="n">
        <v>0</v>
      </c>
      <c r="H484" s="3" t="n">
        <v>0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1"/>
      <c r="B485" s="2" t="s">
        <v>576</v>
      </c>
      <c r="C485" s="1" t="n">
        <v>35</v>
      </c>
      <c r="D485" s="3"/>
      <c r="E485" s="3" t="s">
        <v>119</v>
      </c>
      <c r="F485" s="3" t="str">
        <f aca="false">IFERROR(__xludf.dummyfunction("GOOGLETRANSLATE(B485,""en"",""ar"")"),"خطة")</f>
        <v>خطة</v>
      </c>
      <c r="G485" s="3" t="n">
        <v>0</v>
      </c>
      <c r="H485" s="3" t="n">
        <v>0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1"/>
      <c r="B486" s="2" t="s">
        <v>577</v>
      </c>
      <c r="C486" s="1" t="n">
        <v>35</v>
      </c>
      <c r="D486" s="3"/>
      <c r="E486" s="3" t="s">
        <v>119</v>
      </c>
      <c r="F486" s="3" t="str">
        <f aca="false">IFERROR(__xludf.dummyfunction("GOOGLETRANSLATE(B486,""en"",""ar"")"),"محل")</f>
        <v>محل</v>
      </c>
      <c r="G486" s="3" t="n">
        <v>0</v>
      </c>
      <c r="H486" s="3" t="n">
        <v>0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1"/>
      <c r="B487" s="2" t="s">
        <v>578</v>
      </c>
      <c r="C487" s="1" t="n">
        <v>35</v>
      </c>
      <c r="D487" s="3"/>
      <c r="E487" s="3" t="s">
        <v>119</v>
      </c>
      <c r="F487" s="3" t="str">
        <f aca="false">IFERROR(__xludf.dummyfunction("GOOGLETRANSLATE(B487,""en"",""ar"")"),"ضريبة")</f>
        <v>ضريبة</v>
      </c>
      <c r="G487" s="3" t="n">
        <v>0</v>
      </c>
      <c r="H487" s="3" t="n">
        <v>0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1"/>
      <c r="B488" s="2" t="s">
        <v>579</v>
      </c>
      <c r="C488" s="1" t="n">
        <v>34</v>
      </c>
      <c r="D488" s="3"/>
      <c r="E488" s="3" t="s">
        <v>79</v>
      </c>
      <c r="F488" s="3" t="str">
        <f aca="false">IFERROR(__xludf.dummyfunction("GOOGLETRANSLATE(B488,""en"",""ar"")"),"تحليل")</f>
        <v>تحليل</v>
      </c>
      <c r="G488" s="3" t="n">
        <v>0</v>
      </c>
      <c r="H488" s="3" t="n">
        <v>0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1"/>
      <c r="B489" s="2" t="s">
        <v>580</v>
      </c>
      <c r="C489" s="1" t="n">
        <v>34</v>
      </c>
      <c r="D489" s="3"/>
      <c r="E489" s="3" t="s">
        <v>77</v>
      </c>
      <c r="F489" s="3" t="str">
        <f aca="false">IFERROR(__xludf.dummyfunction("GOOGLETRANSLATE(B489,""en"",""ar"")"),"البرد")</f>
        <v>البرد</v>
      </c>
      <c r="G489" s="3" t="n">
        <v>0</v>
      </c>
      <c r="H489" s="3" t="n">
        <v>0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1"/>
      <c r="B490" s="2" t="s">
        <v>581</v>
      </c>
      <c r="C490" s="1" t="n">
        <v>34</v>
      </c>
      <c r="D490" s="3"/>
      <c r="E490" s="3" t="s">
        <v>235</v>
      </c>
      <c r="F490" s="3" t="str">
        <f aca="false">IFERROR(__xludf.dummyfunction("GOOGLETRANSLATE(B490,""en"",""ar"")"),"تجاري")</f>
        <v>تجاري</v>
      </c>
      <c r="G490" s="3" t="n">
        <v>0</v>
      </c>
      <c r="H490" s="3" t="n">
        <v>0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1"/>
      <c r="B491" s="2" t="s">
        <v>582</v>
      </c>
      <c r="C491" s="1" t="n">
        <v>34</v>
      </c>
      <c r="D491" s="3"/>
      <c r="E491" s="3" t="s">
        <v>42</v>
      </c>
      <c r="F491" s="3" t="str">
        <f aca="false">IFERROR(__xludf.dummyfunction("GOOGLETRANSLATE(B491,""en"",""ar"")"),"مباشرة")</f>
        <v>مباشرة</v>
      </c>
      <c r="G491" s="3" t="n">
        <v>0</v>
      </c>
      <c r="H491" s="3" t="n">
        <v>0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1"/>
      <c r="B492" s="2" t="s">
        <v>583</v>
      </c>
      <c r="C492" s="1" t="n">
        <v>34</v>
      </c>
      <c r="D492" s="3"/>
      <c r="E492" s="3" t="s">
        <v>205</v>
      </c>
      <c r="F492" s="3" t="str">
        <f aca="false">IFERROR(__xludf.dummyfunction("GOOGLETRANSLATE(B492,""en"",""ar"")"),"ممتلىء")</f>
        <v>ممتلىء</v>
      </c>
      <c r="G492" s="3" t="n">
        <v>0</v>
      </c>
      <c r="H492" s="3" t="n">
        <v>0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1"/>
      <c r="B493" s="6" t="s">
        <v>584</v>
      </c>
      <c r="C493" s="1" t="n">
        <v>34</v>
      </c>
      <c r="D493" s="3"/>
      <c r="E493" s="3" t="s">
        <v>87</v>
      </c>
      <c r="F493" s="3" t="str">
        <f aca="false">IFERROR(__xludf.dummyfunction("GOOGLETRANSLATE(B493,""en"",""ar"")"),"متضمن")</f>
        <v>متضمن</v>
      </c>
      <c r="G493" s="3" t="n">
        <v>0</v>
      </c>
      <c r="H493" s="3" t="n">
        <v>0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1"/>
      <c r="B494" s="2" t="s">
        <v>585</v>
      </c>
      <c r="C494" s="1" t="n">
        <v>34</v>
      </c>
      <c r="D494" s="3"/>
      <c r="E494" s="3" t="s">
        <v>30</v>
      </c>
      <c r="F494" s="3" t="str">
        <f aca="false">IFERROR(__xludf.dummyfunction("GOOGLETRANSLATE(B494,""en"",""ar"")"),"بحد ذاتها")</f>
        <v>بحد ذاتها</v>
      </c>
      <c r="G494" s="3" t="n">
        <v>0</v>
      </c>
      <c r="H494" s="3" t="n">
        <v>0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1"/>
      <c r="B495" s="2" t="s">
        <v>586</v>
      </c>
      <c r="C495" s="1" t="n">
        <v>34</v>
      </c>
      <c r="D495" s="3"/>
      <c r="E495" s="3" t="s">
        <v>207</v>
      </c>
      <c r="F495" s="3" t="str">
        <f aca="false">IFERROR(__xludf.dummyfunction("GOOGLETRANSLATE(B495,""en"",""ar"")"),"قليل")</f>
        <v>قليل</v>
      </c>
      <c r="G495" s="3" t="n">
        <v>0</v>
      </c>
      <c r="H495" s="3" t="n">
        <v>0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1"/>
      <c r="B496" s="2" t="s">
        <v>587</v>
      </c>
      <c r="C496" s="1" t="n">
        <v>34</v>
      </c>
      <c r="D496" s="3"/>
      <c r="E496" s="3" t="s">
        <v>112</v>
      </c>
      <c r="F496" s="3" t="str">
        <f aca="false">IFERROR(__xludf.dummyfunction("GOOGLETRANSLATE(B496,""en"",""ar"")"),"قديم")</f>
        <v>قديم</v>
      </c>
      <c r="G496" s="3" t="n">
        <v>0</v>
      </c>
      <c r="H496" s="3" t="n">
        <v>0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9"/>
      <c r="B497" s="2" t="s">
        <v>588</v>
      </c>
      <c r="C497" s="9" t="n">
        <v>34</v>
      </c>
      <c r="D497" s="10"/>
      <c r="E497" s="10" t="s">
        <v>79</v>
      </c>
      <c r="F497" s="10" t="str">
        <f aca="false">IFERROR(__xludf.dummyfunction("GOOGLETRANSLATE(B497,""en"",""ar"")"),"سياسات")</f>
        <v>سياسات</v>
      </c>
      <c r="G497" s="3" t="n">
        <v>0</v>
      </c>
      <c r="H497" s="3" t="n">
        <v>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4.25" hidden="false" customHeight="true" outlineLevel="0" collapsed="false">
      <c r="A498" s="1"/>
      <c r="B498" s="2" t="s">
        <v>589</v>
      </c>
      <c r="C498" s="1" t="n">
        <v>34</v>
      </c>
      <c r="E498" s="11" t="s">
        <v>112</v>
      </c>
      <c r="F498" s="11" t="str">
        <f aca="false">IFERROR(__xludf.dummyfunction("GOOGLETRANSLATE(B498,""en"",""ar"")"),"سياسي")</f>
        <v>سياسي</v>
      </c>
      <c r="G498" s="3" t="n">
        <v>0</v>
      </c>
      <c r="H498" s="3" t="n">
        <v>0</v>
      </c>
    </row>
    <row r="499" customFormat="false" ht="14.25" hidden="false" customHeight="true" outlineLevel="0" collapsed="false">
      <c r="A499" s="1"/>
      <c r="B499" s="6" t="s">
        <v>590</v>
      </c>
      <c r="C499" s="1" t="n">
        <v>34</v>
      </c>
      <c r="E499" s="11" t="s">
        <v>94</v>
      </c>
      <c r="F499" s="11" t="str">
        <f aca="false">IFERROR(__xludf.dummyfunction("GOOGLETRANSLATE(B499,""en"",""ar"")"),"شراء")</f>
        <v>شراء</v>
      </c>
      <c r="G499" s="3" t="n">
        <v>0</v>
      </c>
      <c r="H499" s="3" t="n">
        <v>0</v>
      </c>
    </row>
    <row r="500" customFormat="false" ht="14.25" hidden="false" customHeight="true" outlineLevel="0" collapsed="false">
      <c r="A500" s="1"/>
      <c r="B500" s="2" t="s">
        <v>591</v>
      </c>
      <c r="C500" s="1" t="n">
        <v>34</v>
      </c>
      <c r="E500" s="11" t="s">
        <v>79</v>
      </c>
      <c r="F500" s="11" t="str">
        <f aca="false">IFERROR(__xludf.dummyfunction("GOOGLETRANSLATE(B500,""en"",""ar"")"),"مسلسل")</f>
        <v>مسلسل</v>
      </c>
      <c r="G500" s="3" t="n">
        <v>0</v>
      </c>
      <c r="H500" s="3" t="n">
        <v>0</v>
      </c>
    </row>
    <row r="501" customFormat="false" ht="14.25" hidden="false" customHeight="true" outlineLevel="0" collapsed="false">
      <c r="A501" s="1"/>
      <c r="B501" s="1" t="s">
        <v>592</v>
      </c>
      <c r="C501" s="1" t="n">
        <v>34</v>
      </c>
      <c r="E501" s="11" t="s">
        <v>119</v>
      </c>
      <c r="F501" s="11" t="str">
        <f aca="false">IFERROR(__xludf.dummyfunction("GOOGLETRANSLATE(B501,""en"",""ar"")"),"الجانب")</f>
        <v>الجانب</v>
      </c>
      <c r="G501" s="3" t="n">
        <v>0</v>
      </c>
      <c r="H501" s="3" t="n">
        <v>0</v>
      </c>
    </row>
    <row r="502" customFormat="false" ht="14.25" hidden="false" customHeight="true" outlineLevel="0" collapsed="false">
      <c r="A502" s="1"/>
      <c r="B502" s="1" t="s">
        <v>593</v>
      </c>
      <c r="C502" s="1" t="n">
        <v>34</v>
      </c>
      <c r="E502" s="11" t="s">
        <v>308</v>
      </c>
      <c r="F502" s="11" t="str">
        <f aca="false">IFERROR(__xludf.dummyfunction("GOOGLETRANSLATE(B502,""en"",""ar"")"),"موضوعات")</f>
        <v>موضوعات</v>
      </c>
      <c r="G502" s="3" t="n">
        <v>0</v>
      </c>
      <c r="H502" s="3" t="n">
        <v>0</v>
      </c>
    </row>
    <row r="503" customFormat="false" ht="14.25" hidden="false" customHeight="true" outlineLevel="0" collapsed="false">
      <c r="A503" s="1"/>
      <c r="B503" s="12" t="s">
        <v>594</v>
      </c>
      <c r="C503" s="1" t="n">
        <v>34</v>
      </c>
      <c r="E503" s="11" t="s">
        <v>12</v>
      </c>
      <c r="F503" s="11" t="str">
        <f aca="false">IFERROR(__xludf.dummyfunction("GOOGLETRANSLATE(B503,""en"",""ar"")"),"يتبرع")</f>
        <v>يتبرع</v>
      </c>
      <c r="G503" s="3" t="n">
        <v>0</v>
      </c>
      <c r="H503" s="3" t="n">
        <v>0</v>
      </c>
    </row>
    <row r="504" customFormat="false" ht="14.25" hidden="false" customHeight="true" outlineLevel="0" collapsed="false">
      <c r="A504" s="1"/>
      <c r="B504" s="12" t="s">
        <v>595</v>
      </c>
      <c r="C504" s="1" t="n">
        <v>34</v>
      </c>
      <c r="E504" s="11" t="s">
        <v>42</v>
      </c>
      <c r="F504" s="11" t="str">
        <f aca="false">IFERROR(__xludf.dummyfunction("GOOGLETRANSLATE(B504,""en"",""ar"")"),"لذا")</f>
        <v>لذا</v>
      </c>
      <c r="G504" s="3" t="n">
        <v>0</v>
      </c>
      <c r="H504" s="3" t="n">
        <v>0</v>
      </c>
    </row>
    <row r="505" customFormat="false" ht="14.25" hidden="false" customHeight="true" outlineLevel="0" collapsed="false">
      <c r="A505" s="1"/>
      <c r="B505" s="1" t="s">
        <v>596</v>
      </c>
      <c r="C505" s="1" t="n">
        <v>34</v>
      </c>
      <c r="E505" s="11" t="s">
        <v>79</v>
      </c>
      <c r="F505" s="11" t="str">
        <f aca="false">IFERROR(__xludf.dummyfunction("GOOGLETRANSLATE(B505,""en"",""ar"")"),"فكر")</f>
        <v>فكر</v>
      </c>
      <c r="G505" s="3" t="n">
        <v>0</v>
      </c>
      <c r="H505" s="3" t="n">
        <v>0</v>
      </c>
    </row>
    <row r="506" customFormat="false" ht="14.25" hidden="false" customHeight="true" outlineLevel="0" collapsed="false">
      <c r="A506" s="1"/>
      <c r="B506" s="1" t="s">
        <v>597</v>
      </c>
      <c r="C506" s="1" t="n">
        <v>33</v>
      </c>
      <c r="E506" s="11" t="s">
        <v>79</v>
      </c>
      <c r="F506" s="11" t="str">
        <f aca="false">IFERROR(__xludf.dummyfunction("GOOGLETRANSLATE(B506,""en"",""ar"")"),"أساس")</f>
        <v>أساس</v>
      </c>
      <c r="G506" s="3" t="n">
        <v>0</v>
      </c>
      <c r="H506" s="3" t="n">
        <v>0</v>
      </c>
    </row>
    <row r="507" customFormat="false" ht="14.25" hidden="false" customHeight="true" outlineLevel="0" collapsed="false">
      <c r="A507" s="1"/>
      <c r="B507" s="1" t="s">
        <v>598</v>
      </c>
      <c r="C507" s="1" t="n">
        <v>33</v>
      </c>
      <c r="E507" s="11" t="s">
        <v>79</v>
      </c>
      <c r="F507" s="11" t="str">
        <f aca="false">IFERROR(__xludf.dummyfunction("GOOGLETRANSLATE(B507,""en"",""ar"")"),"حبيب")</f>
        <v>حبيب</v>
      </c>
      <c r="G507" s="3" t="n">
        <v>0</v>
      </c>
      <c r="H507" s="3" t="n">
        <v>0</v>
      </c>
    </row>
    <row r="508" customFormat="false" ht="14.25" hidden="false" customHeight="true" outlineLevel="0" collapsed="false">
      <c r="A508" s="1"/>
      <c r="B508" s="1" t="s">
        <v>599</v>
      </c>
      <c r="C508" s="1" t="n">
        <v>33</v>
      </c>
      <c r="E508" s="11" t="s">
        <v>94</v>
      </c>
      <c r="F508" s="11" t="str">
        <f aca="false">IFERROR(__xludf.dummyfunction("GOOGLETRANSLATE(B508,""en"",""ar"")"),"صفقة")</f>
        <v>صفقة</v>
      </c>
      <c r="G508" s="3" t="n">
        <v>0</v>
      </c>
      <c r="H508" s="3" t="n">
        <v>0</v>
      </c>
    </row>
    <row r="509" customFormat="false" ht="14.25" hidden="false" customHeight="true" outlineLevel="0" collapsed="false">
      <c r="A509" s="1"/>
      <c r="B509" s="1" t="s">
        <v>600</v>
      </c>
      <c r="C509" s="1" t="n">
        <v>33</v>
      </c>
      <c r="E509" s="11" t="s">
        <v>79</v>
      </c>
      <c r="F509" s="11" t="str">
        <f aca="false">IFERROR(__xludf.dummyfunction("GOOGLETRANSLATE(B509,""en"",""ar"")"),"اتجاه")</f>
        <v>اتجاه</v>
      </c>
      <c r="G509" s="3" t="n">
        <v>0</v>
      </c>
      <c r="H509" s="3" t="n">
        <v>0</v>
      </c>
    </row>
    <row r="510" customFormat="false" ht="14.25" hidden="false" customHeight="true" outlineLevel="0" collapsed="false">
      <c r="A510" s="1"/>
      <c r="B510" s="1" t="s">
        <v>601</v>
      </c>
      <c r="C510" s="1" t="n">
        <v>33</v>
      </c>
      <c r="E510" s="11" t="s">
        <v>197</v>
      </c>
      <c r="F510" s="11" t="str">
        <f aca="false">IFERROR(__xludf.dummyfunction("GOOGLETRANSLATE(B510,""en"",""ar"")"),"يعني")</f>
        <v>يعني</v>
      </c>
      <c r="G510" s="3" t="n">
        <v>0</v>
      </c>
      <c r="H510" s="3" t="n">
        <v>0</v>
      </c>
    </row>
    <row r="511" customFormat="false" ht="14.25" hidden="false" customHeight="true" outlineLevel="0" collapsed="false">
      <c r="A511" s="1"/>
      <c r="B511" s="1" t="s">
        <v>602</v>
      </c>
      <c r="C511" s="1" t="n">
        <v>33</v>
      </c>
      <c r="E511" s="11" t="s">
        <v>235</v>
      </c>
      <c r="F511" s="11" t="str">
        <f aca="false">IFERROR(__xludf.dummyfunction("GOOGLETRANSLATE(B511,""en"",""ar"")"),"خبرات")</f>
        <v>خبرات</v>
      </c>
      <c r="G511" s="3" t="n">
        <v>0</v>
      </c>
      <c r="H511" s="3" t="n">
        <v>0</v>
      </c>
    </row>
    <row r="512" customFormat="false" ht="14.25" hidden="false" customHeight="true" outlineLevel="0" collapsed="false">
      <c r="A512" s="1"/>
      <c r="B512" s="1" t="s">
        <v>603</v>
      </c>
      <c r="C512" s="1" t="n">
        <v>33</v>
      </c>
      <c r="E512" s="11" t="s">
        <v>119</v>
      </c>
      <c r="F512" s="11" t="str">
        <f aca="false">IFERROR(__xludf.dummyfunction("GOOGLETRANSLATE(B512,""en"",""ar"")"),"الفضاء")</f>
        <v>الفضاء</v>
      </c>
      <c r="G512" s="3" t="n">
        <v>0</v>
      </c>
      <c r="H512" s="3" t="n">
        <v>0</v>
      </c>
    </row>
    <row r="513" customFormat="false" ht="14.25" hidden="false" customHeight="true" outlineLevel="0" collapsed="false">
      <c r="A513" s="1"/>
      <c r="B513" s="1" t="s">
        <v>604</v>
      </c>
      <c r="C513" s="1" t="n">
        <v>33</v>
      </c>
      <c r="E513" s="11" t="s">
        <v>79</v>
      </c>
      <c r="F513" s="11" t="str">
        <f aca="false">IFERROR(__xludf.dummyfunction("GOOGLETRANSLATE(B513,""en"",""ar"")"),"إستراتيجية")</f>
        <v>إستراتيجية</v>
      </c>
      <c r="G513" s="3" t="n">
        <v>0</v>
      </c>
      <c r="H513" s="3" t="n">
        <v>0</v>
      </c>
    </row>
    <row r="514" customFormat="false" ht="14.25" hidden="false" customHeight="true" outlineLevel="0" collapsed="false">
      <c r="A514" s="1"/>
      <c r="B514" s="1" t="s">
        <v>605</v>
      </c>
      <c r="C514" s="1" t="n">
        <v>33</v>
      </c>
      <c r="E514" s="11" t="s">
        <v>79</v>
      </c>
      <c r="F514" s="11" t="str">
        <f aca="false">IFERROR(__xludf.dummyfunction("GOOGLETRANSLATE(B514,""en"",""ar"")"),"تقنية")</f>
        <v>تقنية</v>
      </c>
      <c r="G514" s="3" t="n">
        <v>0</v>
      </c>
      <c r="H514" s="3" t="n">
        <v>0</v>
      </c>
    </row>
    <row r="515" customFormat="false" ht="14.25" hidden="false" customHeight="true" outlineLevel="0" collapsed="false">
      <c r="A515" s="1"/>
      <c r="B515" s="12" t="s">
        <v>606</v>
      </c>
      <c r="C515" s="1" t="n">
        <v>33</v>
      </c>
      <c r="E515" s="11" t="s">
        <v>235</v>
      </c>
      <c r="F515" s="11" t="str">
        <f aca="false">IFERROR(__xludf.dummyfunction("GOOGLETRANSLATE(B515,""en"",""ar"")"),"يستحق")</f>
        <v>يستحق</v>
      </c>
      <c r="G515" s="3" t="n">
        <v>0</v>
      </c>
      <c r="H515" s="3" t="n">
        <v>0</v>
      </c>
    </row>
    <row r="516" customFormat="false" ht="14.25" hidden="false" customHeight="true" outlineLevel="0" collapsed="false">
      <c r="A516" s="1"/>
      <c r="B516" s="1" t="s">
        <v>607</v>
      </c>
      <c r="C516" s="1" t="n">
        <v>32</v>
      </c>
      <c r="E516" s="11" t="s">
        <v>79</v>
      </c>
      <c r="F516" s="11" t="str">
        <f aca="false">IFERROR(__xludf.dummyfunction("GOOGLETRANSLATE(B516,""en"",""ar"")"),"جيش")</f>
        <v>جيش</v>
      </c>
      <c r="G516" s="3" t="n">
        <v>0</v>
      </c>
      <c r="H516" s="3" t="n">
        <v>0</v>
      </c>
    </row>
    <row r="517" customFormat="false" ht="14.25" hidden="false" customHeight="true" outlineLevel="0" collapsed="false">
      <c r="A517" s="1"/>
      <c r="B517" s="1" t="s">
        <v>608</v>
      </c>
      <c r="C517" s="1" t="n">
        <v>32</v>
      </c>
      <c r="E517" s="11" t="s">
        <v>79</v>
      </c>
      <c r="F517" s="11" t="str">
        <f aca="false">IFERROR(__xludf.dummyfunction("GOOGLETRANSLATE(B517,""en"",""ar"")"),"كاميرا")</f>
        <v>كاميرا</v>
      </c>
      <c r="G517" s="3" t="n">
        <v>0</v>
      </c>
      <c r="H517" s="3" t="n">
        <v>0</v>
      </c>
    </row>
    <row r="518" customFormat="false" ht="14.25" hidden="false" customHeight="true" outlineLevel="0" collapsed="false">
      <c r="A518" s="1"/>
      <c r="B518" s="1" t="s">
        <v>609</v>
      </c>
      <c r="C518" s="1" t="n">
        <v>32</v>
      </c>
      <c r="E518" s="11" t="s">
        <v>94</v>
      </c>
      <c r="F518" s="11" t="str">
        <f aca="false">IFERROR(__xludf.dummyfunction("GOOGLETRANSLATE(B518,""en"",""ar"")"),"خريف")</f>
        <v>خريف</v>
      </c>
      <c r="G518" s="3" t="n">
        <v>0</v>
      </c>
      <c r="H518" s="3" t="n">
        <v>0</v>
      </c>
    </row>
    <row r="519" customFormat="false" ht="14.25" hidden="false" customHeight="true" outlineLevel="0" collapsed="false">
      <c r="A519" s="1"/>
      <c r="B519" s="1" t="s">
        <v>610</v>
      </c>
      <c r="C519" s="1" t="n">
        <v>32</v>
      </c>
      <c r="E519" s="11" t="s">
        <v>79</v>
      </c>
      <c r="F519" s="11" t="str">
        <f aca="false">IFERROR(__xludf.dummyfunction("GOOGLETRANSLATE(B519,""en"",""ar"")"),"الحرية")</f>
        <v>الحرية</v>
      </c>
      <c r="G519" s="3" t="n">
        <v>0</v>
      </c>
      <c r="H519" s="3" t="n">
        <v>0</v>
      </c>
    </row>
    <row r="520" customFormat="false" ht="14.25" hidden="false" customHeight="true" outlineLevel="0" collapsed="false">
      <c r="A520" s="1"/>
      <c r="B520" s="1" t="s">
        <v>611</v>
      </c>
      <c r="C520" s="1" t="n">
        <v>32</v>
      </c>
      <c r="E520" s="11" t="s">
        <v>79</v>
      </c>
      <c r="F520" s="11" t="str">
        <f aca="false">IFERROR(__xludf.dummyfunction("GOOGLETRANSLATE(B520,""en"",""ar"")"),"ورق")</f>
        <v>ورق</v>
      </c>
      <c r="G520" s="3" t="n">
        <v>0</v>
      </c>
      <c r="H520" s="3" t="n">
        <v>0</v>
      </c>
    </row>
    <row r="521" customFormat="false" ht="14.25" hidden="false" customHeight="true" outlineLevel="0" collapsed="false">
      <c r="A521" s="1"/>
      <c r="B521" s="1" t="s">
        <v>612</v>
      </c>
      <c r="C521" s="1" t="n">
        <v>32</v>
      </c>
      <c r="E521" s="11" t="s">
        <v>119</v>
      </c>
      <c r="F521" s="11" t="str">
        <f aca="false">IFERROR(__xludf.dummyfunction("GOOGLETRANSLATE(B521,""en"",""ar"")"),"قاعدة")</f>
        <v>قاعدة</v>
      </c>
      <c r="G521" s="3" t="n">
        <v>0</v>
      </c>
      <c r="H521" s="3" t="n">
        <v>0</v>
      </c>
    </row>
    <row r="522" customFormat="false" ht="14.25" hidden="false" customHeight="true" outlineLevel="0" collapsed="false">
      <c r="A522" s="1"/>
      <c r="B522" s="1" t="s">
        <v>613</v>
      </c>
      <c r="C522" s="1" t="n">
        <v>32</v>
      </c>
      <c r="E522" s="11" t="s">
        <v>112</v>
      </c>
      <c r="F522" s="11" t="str">
        <f aca="false">IFERROR(__xludf.dummyfunction("GOOGLETRANSLATE(B522,""en"",""ar"")"),"مماثل")</f>
        <v>مماثل</v>
      </c>
      <c r="G522" s="3" t="n">
        <v>0</v>
      </c>
      <c r="H522" s="3" t="n">
        <v>0</v>
      </c>
    </row>
    <row r="523" customFormat="false" ht="14.25" hidden="false" customHeight="true" outlineLevel="0" collapsed="false">
      <c r="A523" s="1"/>
      <c r="B523" s="1" t="s">
        <v>614</v>
      </c>
      <c r="C523" s="1" t="n">
        <v>32</v>
      </c>
      <c r="E523" s="11" t="s">
        <v>83</v>
      </c>
      <c r="F523" s="11" t="str">
        <f aca="false">IFERROR(__xludf.dummyfunction("GOOGLETRANSLATE(B523,""en"",""ar"")"),"المخزون")</f>
        <v>المخزون</v>
      </c>
      <c r="G523" s="3" t="n">
        <v>0</v>
      </c>
      <c r="H523" s="3" t="n">
        <v>0</v>
      </c>
    </row>
    <row r="524" customFormat="false" ht="14.25" hidden="false" customHeight="true" outlineLevel="0" collapsed="false">
      <c r="A524" s="1"/>
      <c r="B524" s="1" t="s">
        <v>615</v>
      </c>
      <c r="C524" s="1" t="n">
        <v>32</v>
      </c>
      <c r="E524" s="11" t="s">
        <v>119</v>
      </c>
      <c r="F524" s="11" t="str">
        <f aca="false">IFERROR(__xludf.dummyfunction("GOOGLETRANSLATE(B524,""en"",""ar"")"),"الجو")</f>
        <v>الجو</v>
      </c>
      <c r="G524" s="3" t="n">
        <v>0</v>
      </c>
      <c r="H524" s="3" t="n">
        <v>0</v>
      </c>
    </row>
    <row r="525" customFormat="false" ht="14.25" hidden="false" customHeight="true" outlineLevel="0" collapsed="false">
      <c r="A525" s="1"/>
      <c r="B525" s="1" t="s">
        <v>616</v>
      </c>
      <c r="C525" s="1" t="n">
        <v>32</v>
      </c>
      <c r="E525" s="11" t="s">
        <v>64</v>
      </c>
      <c r="F525" s="11" t="str">
        <f aca="false">IFERROR(__xludf.dummyfunction("GOOGLETRANSLATE(B525,""en"",""ar"")"),"حتى الآن")</f>
        <v>حتى الآن</v>
      </c>
      <c r="G525" s="3" t="n">
        <v>0</v>
      </c>
      <c r="H525" s="3" t="n">
        <v>0</v>
      </c>
    </row>
    <row r="526" customFormat="false" ht="14.25" hidden="false" customHeight="true" outlineLevel="0" collapsed="false">
      <c r="A526" s="1"/>
      <c r="B526" s="1" t="s">
        <v>617</v>
      </c>
      <c r="C526" s="1" t="n">
        <v>31</v>
      </c>
      <c r="E526" s="11" t="s">
        <v>12</v>
      </c>
      <c r="F526" s="11" t="str">
        <f aca="false">IFERROR(__xludf.dummyfunction("GOOGLETRANSLATE(B526,""en"",""ar"")"),"احضر")</f>
        <v>احضر</v>
      </c>
      <c r="G526" s="3" t="n">
        <v>0</v>
      </c>
      <c r="H526" s="3" t="n">
        <v>0</v>
      </c>
    </row>
    <row r="527" customFormat="false" ht="14.25" hidden="false" customHeight="true" outlineLevel="0" collapsed="false">
      <c r="A527" s="1"/>
      <c r="B527" s="1" t="s">
        <v>618</v>
      </c>
      <c r="C527" s="1" t="n">
        <v>31</v>
      </c>
      <c r="E527" s="11" t="s">
        <v>83</v>
      </c>
      <c r="F527" s="11" t="str">
        <f aca="false">IFERROR(__xludf.dummyfunction("GOOGLETRANSLATE(B527,""en"",""ar"")"),"صدفة")</f>
        <v>صدفة</v>
      </c>
      <c r="G527" s="3" t="n">
        <v>0</v>
      </c>
      <c r="H527" s="3" t="n">
        <v>0</v>
      </c>
    </row>
    <row r="528" customFormat="false" ht="14.25" hidden="false" customHeight="true" outlineLevel="0" collapsed="false">
      <c r="A528" s="1"/>
      <c r="B528" s="1" t="s">
        <v>619</v>
      </c>
      <c r="C528" s="1" t="n">
        <v>31</v>
      </c>
      <c r="E528" s="11" t="s">
        <v>79</v>
      </c>
      <c r="F528" s="11" t="str">
        <f aca="false">IFERROR(__xludf.dummyfunction("GOOGLETRANSLATE(B528,""en"",""ar"")"),"بيئة")</f>
        <v>بيئة</v>
      </c>
      <c r="G528" s="3" t="n">
        <v>0</v>
      </c>
      <c r="H528" s="3" t="n">
        <v>0</v>
      </c>
    </row>
    <row r="529" customFormat="false" ht="14.25" hidden="false" customHeight="true" outlineLevel="0" collapsed="false">
      <c r="A529" s="1"/>
      <c r="B529" s="1" t="s">
        <v>620</v>
      </c>
      <c r="C529" s="1" t="n">
        <v>31</v>
      </c>
      <c r="E529" s="11" t="s">
        <v>30</v>
      </c>
      <c r="F529" s="11" t="str">
        <f aca="false">IFERROR(__xludf.dummyfunction("GOOGLETRANSLATE(B529,""en"",""ar"")"),"كل واحد")</f>
        <v>كل واحد</v>
      </c>
      <c r="G529" s="3" t="n">
        <v>0</v>
      </c>
      <c r="H529" s="3" t="n">
        <v>0</v>
      </c>
    </row>
    <row r="530" customFormat="false" ht="14.25" hidden="false" customHeight="true" outlineLevel="0" collapsed="false">
      <c r="A530" s="1"/>
      <c r="B530" s="1" t="s">
        <v>621</v>
      </c>
      <c r="C530" s="1" t="n">
        <v>31</v>
      </c>
      <c r="E530" s="11" t="s">
        <v>119</v>
      </c>
      <c r="F530" s="11" t="str">
        <f aca="false">IFERROR(__xludf.dummyfunction("GOOGLETRANSLATE(B530,""en"",""ar"")"),"الشكل")</f>
        <v>الشكل</v>
      </c>
      <c r="G530" s="3" t="n">
        <v>0</v>
      </c>
      <c r="H530" s="3" t="n">
        <v>0</v>
      </c>
    </row>
    <row r="531" customFormat="false" ht="14.25" hidden="false" customHeight="true" outlineLevel="0" collapsed="false">
      <c r="A531" s="1"/>
      <c r="B531" s="2" t="s">
        <v>622</v>
      </c>
      <c r="C531" s="1" t="n">
        <v>31</v>
      </c>
      <c r="E531" s="11" t="s">
        <v>12</v>
      </c>
      <c r="F531" s="11" t="str">
        <f aca="false">IFERROR(__xludf.dummyfunction("GOOGLETRANSLATE(B531,""en"",""ar"")"),"يحسن")</f>
        <v>يحسن</v>
      </c>
      <c r="G531" s="3" t="n">
        <v>0</v>
      </c>
      <c r="H531" s="3" t="n">
        <v>0</v>
      </c>
    </row>
    <row r="532" customFormat="false" ht="14.25" hidden="false" customHeight="true" outlineLevel="0" collapsed="false">
      <c r="A532" s="1"/>
      <c r="B532" s="2" t="s">
        <v>623</v>
      </c>
      <c r="C532" s="1" t="n">
        <v>31</v>
      </c>
      <c r="E532" s="11" t="s">
        <v>395</v>
      </c>
      <c r="F532" s="11" t="str">
        <f aca="false">IFERROR(__xludf.dummyfunction("GOOGLETRANSLATE(B532,""en"",""ar"")"),"رجل")</f>
        <v>رجل</v>
      </c>
      <c r="G532" s="3" t="n">
        <v>0</v>
      </c>
      <c r="H532" s="3" t="n">
        <v>0</v>
      </c>
    </row>
    <row r="533" customFormat="false" ht="14.25" hidden="false" customHeight="true" outlineLevel="0" collapsed="false">
      <c r="A533" s="1"/>
      <c r="B533" s="2" t="s">
        <v>624</v>
      </c>
      <c r="C533" s="1" t="n">
        <v>31</v>
      </c>
      <c r="E533" s="11" t="s">
        <v>119</v>
      </c>
      <c r="F533" s="11" t="str">
        <f aca="false">IFERROR(__xludf.dummyfunction("GOOGLETRANSLATE(B533,""en"",""ar"")"),"نموذج")</f>
        <v>نموذج</v>
      </c>
      <c r="G533" s="3" t="n">
        <v>0</v>
      </c>
      <c r="H533" s="3" t="n">
        <v>0</v>
      </c>
    </row>
    <row r="534" customFormat="false" ht="14.25" hidden="false" customHeight="true" outlineLevel="0" collapsed="false">
      <c r="A534" s="1"/>
      <c r="B534" s="1" t="s">
        <v>625</v>
      </c>
      <c r="C534" s="1" t="n">
        <v>31</v>
      </c>
      <c r="E534" s="11" t="s">
        <v>235</v>
      </c>
      <c r="F534" s="11" t="str">
        <f aca="false">IFERROR(__xludf.dummyfunction("GOOGLETRANSLATE(B534,""en"",""ar"")"),"من الضروري")</f>
        <v>من الضروري</v>
      </c>
      <c r="G534" s="3" t="n">
        <v>0</v>
      </c>
      <c r="H534" s="3" t="n">
        <v>0</v>
      </c>
    </row>
    <row r="535" customFormat="false" ht="14.25" hidden="false" customHeight="true" outlineLevel="0" collapsed="false">
      <c r="A535" s="1"/>
      <c r="B535" s="1" t="s">
        <v>626</v>
      </c>
      <c r="C535" s="1" t="n">
        <v>31</v>
      </c>
      <c r="E535" s="11" t="s">
        <v>235</v>
      </c>
      <c r="F535" s="11" t="str">
        <f aca="false">IFERROR(__xludf.dummyfunction("GOOGLETRANSLATE(B535,""en"",""ar"")"),"إيجابي")</f>
        <v>إيجابي</v>
      </c>
      <c r="G535" s="3" t="n">
        <v>0</v>
      </c>
      <c r="H535" s="3" t="n">
        <v>0</v>
      </c>
    </row>
    <row r="536" customFormat="false" ht="14.25" hidden="false" customHeight="true" outlineLevel="0" collapsed="false">
      <c r="A536" s="1"/>
      <c r="B536" s="1" t="s">
        <v>627</v>
      </c>
      <c r="C536" s="1" t="n">
        <v>31</v>
      </c>
      <c r="E536" s="11" t="s">
        <v>94</v>
      </c>
      <c r="F536" s="11" t="str">
        <f aca="false">IFERROR(__xludf.dummyfunction("GOOGLETRANSLATE(B536,""en"",""ar"")"),"ينتج")</f>
        <v>ينتج</v>
      </c>
      <c r="G536" s="3" t="n">
        <v>0</v>
      </c>
      <c r="H536" s="3" t="n">
        <v>0</v>
      </c>
    </row>
    <row r="537" customFormat="false" ht="14.25" hidden="false" customHeight="true" outlineLevel="0" collapsed="false">
      <c r="A537" s="1"/>
      <c r="B537" s="1" t="s">
        <v>628</v>
      </c>
      <c r="C537" s="1" t="n">
        <v>31</v>
      </c>
      <c r="E537" s="11" t="s">
        <v>94</v>
      </c>
      <c r="F537" s="11" t="str">
        <f aca="false">IFERROR(__xludf.dummyfunction("GOOGLETRANSLATE(B537,""en"",""ar"")"),"بحث")</f>
        <v>بحث</v>
      </c>
      <c r="G537" s="3" t="n">
        <v>0</v>
      </c>
      <c r="H537" s="3" t="n">
        <v>0</v>
      </c>
    </row>
    <row r="538" customFormat="false" ht="14.25" hidden="false" customHeight="true" outlineLevel="0" collapsed="false">
      <c r="A538" s="1"/>
      <c r="B538" s="1" t="s">
        <v>629</v>
      </c>
      <c r="C538" s="1" t="n">
        <v>31</v>
      </c>
      <c r="E538" s="11" t="s">
        <v>119</v>
      </c>
      <c r="F538" s="11" t="str">
        <f aca="false">IFERROR(__xludf.dummyfunction("GOOGLETRANSLATE(B538,""en"",""ar"")"),"مصدر")</f>
        <v>مصدر</v>
      </c>
      <c r="G538" s="3" t="n">
        <v>0</v>
      </c>
      <c r="H538" s="3" t="n">
        <v>0</v>
      </c>
    </row>
    <row r="539" customFormat="false" ht="14.25" hidden="false" customHeight="true" outlineLevel="0" collapsed="false">
      <c r="A539" s="1"/>
      <c r="B539" s="1" t="s">
        <v>630</v>
      </c>
      <c r="C539" s="1" t="n">
        <v>30</v>
      </c>
      <c r="E539" s="11" t="s">
        <v>83</v>
      </c>
      <c r="F539" s="11" t="str">
        <f aca="false">IFERROR(__xludf.dummyfunction("GOOGLETRANSLATE(B539,""en"",""ar"")"),"بداية")</f>
        <v>بداية</v>
      </c>
      <c r="G539" s="3" t="n">
        <v>0</v>
      </c>
      <c r="H539" s="3" t="n">
        <v>0</v>
      </c>
    </row>
    <row r="540" customFormat="false" ht="14.25" hidden="false" customHeight="true" outlineLevel="0" collapsed="false">
      <c r="A540" s="1"/>
      <c r="B540" s="2" t="s">
        <v>631</v>
      </c>
      <c r="C540" s="1" t="n">
        <v>30</v>
      </c>
      <c r="E540" s="11" t="s">
        <v>79</v>
      </c>
      <c r="F540" s="11" t="str">
        <f aca="false">IFERROR(__xludf.dummyfunction("GOOGLETRANSLATE(B540,""en"",""ar"")"),"طفل")</f>
        <v>طفل</v>
      </c>
      <c r="G540" s="3" t="n">
        <v>0</v>
      </c>
      <c r="H540" s="3" t="n">
        <v>0</v>
      </c>
    </row>
    <row r="541" customFormat="false" ht="14.25" hidden="false" customHeight="true" outlineLevel="0" collapsed="false">
      <c r="A541" s="1"/>
      <c r="B541" s="1" t="s">
        <v>632</v>
      </c>
      <c r="C541" s="1" t="n">
        <v>30</v>
      </c>
      <c r="E541" s="11" t="s">
        <v>119</v>
      </c>
      <c r="F541" s="11" t="str">
        <f aca="false">IFERROR(__xludf.dummyfunction("GOOGLETRANSLATE(B541,""en"",""ar"")"),"أرض")</f>
        <v>أرض</v>
      </c>
      <c r="G541" s="3" t="n">
        <v>0</v>
      </c>
      <c r="H541" s="3" t="n">
        <v>0</v>
      </c>
    </row>
    <row r="542" customFormat="false" ht="14.25" hidden="false" customHeight="true" outlineLevel="0" collapsed="false">
      <c r="A542" s="1"/>
      <c r="B542" s="1" t="s">
        <v>633</v>
      </c>
      <c r="C542" s="1" t="n">
        <v>30</v>
      </c>
      <c r="E542" s="11" t="s">
        <v>42</v>
      </c>
      <c r="F542" s="11" t="str">
        <f aca="false">IFERROR(__xludf.dummyfunction("GOOGLETRANSLATE(B542,""en"",""ar"")"),"آخر")</f>
        <v>آخر</v>
      </c>
      <c r="G542" s="3" t="n">
        <v>0</v>
      </c>
      <c r="H542" s="3" t="n">
        <v>0</v>
      </c>
    </row>
    <row r="543" customFormat="false" ht="14.25" hidden="false" customHeight="true" outlineLevel="0" collapsed="false">
      <c r="A543" s="1"/>
      <c r="B543" s="1" t="s">
        <v>634</v>
      </c>
      <c r="C543" s="1" t="n">
        <v>30</v>
      </c>
      <c r="E543" s="11" t="s">
        <v>112</v>
      </c>
      <c r="F543" s="11" t="str">
        <f aca="false">IFERROR(__xludf.dummyfunction("GOOGLETRANSLATE(B543,""en"",""ar"")"),"صحي")</f>
        <v>صحي</v>
      </c>
      <c r="G543" s="3" t="n">
        <v>0</v>
      </c>
      <c r="H543" s="3" t="n">
        <v>0</v>
      </c>
    </row>
    <row r="544" customFormat="false" ht="14.25" hidden="false" customHeight="true" outlineLevel="0" collapsed="false">
      <c r="A544" s="1"/>
      <c r="B544" s="1" t="s">
        <v>635</v>
      </c>
      <c r="C544" s="1" t="n">
        <v>30</v>
      </c>
      <c r="E544" s="11" t="s">
        <v>79</v>
      </c>
      <c r="F544" s="11" t="str">
        <f aca="false">IFERROR(__xludf.dummyfunction("GOOGLETRANSLATE(B544,""en"",""ar"")"),"مثل")</f>
        <v>مثل</v>
      </c>
      <c r="G544" s="3" t="n">
        <v>0</v>
      </c>
      <c r="H544" s="3" t="n">
        <v>0</v>
      </c>
    </row>
    <row r="545" customFormat="false" ht="14.25" hidden="false" customHeight="true" outlineLevel="0" collapsed="false">
      <c r="A545" s="1"/>
      <c r="B545" s="1" t="s">
        <v>636</v>
      </c>
      <c r="C545" s="1" t="n">
        <v>30</v>
      </c>
      <c r="E545" s="11" t="s">
        <v>12</v>
      </c>
      <c r="F545" s="11" t="str">
        <f aca="false">IFERROR(__xludf.dummyfunction("GOOGLETRANSLATE(B545,""en"",""ar"")"),"الحفاظ")</f>
        <v>الحفاظ</v>
      </c>
      <c r="G545" s="3" t="n">
        <v>0</v>
      </c>
      <c r="H545" s="3" t="n">
        <v>0</v>
      </c>
    </row>
    <row r="546" customFormat="false" ht="14.25" hidden="false" customHeight="true" outlineLevel="0" collapsed="false">
      <c r="A546" s="1"/>
      <c r="B546" s="1" t="s">
        <v>637</v>
      </c>
      <c r="C546" s="1" t="n">
        <v>30</v>
      </c>
      <c r="E546" s="11" t="s">
        <v>79</v>
      </c>
      <c r="F546" s="11" t="str">
        <f aca="false">IFERROR(__xludf.dummyfunction("GOOGLETRANSLATE(B546,""en"",""ar"")"),"شهر")</f>
        <v>شهر</v>
      </c>
      <c r="G546" s="3" t="n">
        <v>0</v>
      </c>
      <c r="H546" s="3" t="n">
        <v>0</v>
      </c>
    </row>
    <row r="547" customFormat="false" ht="14.25" hidden="false" customHeight="true" outlineLevel="0" collapsed="false">
      <c r="A547" s="1"/>
      <c r="B547" s="1" t="s">
        <v>638</v>
      </c>
      <c r="C547" s="1" t="n">
        <v>30</v>
      </c>
      <c r="E547" s="11" t="s">
        <v>405</v>
      </c>
      <c r="F547" s="11" t="str">
        <f aca="false">IFERROR(__xludf.dummyfunction("GOOGLETRANSLATE(B547,""en"",""ar"")"),"الحالي")</f>
        <v>الحالي</v>
      </c>
      <c r="G547" s="3" t="n">
        <v>0</v>
      </c>
      <c r="H547" s="3" t="n">
        <v>0</v>
      </c>
    </row>
    <row r="548" customFormat="false" ht="14.25" hidden="false" customHeight="true" outlineLevel="0" collapsed="false">
      <c r="A548" s="1"/>
      <c r="B548" s="2" t="s">
        <v>639</v>
      </c>
      <c r="C548" s="1" t="n">
        <v>30</v>
      </c>
      <c r="E548" s="11" t="s">
        <v>119</v>
      </c>
      <c r="F548" s="11" t="str">
        <f aca="false">IFERROR(__xludf.dummyfunction("GOOGLETRANSLATE(B548,""en"",""ar"")"),"برنامج")</f>
        <v>برنامج</v>
      </c>
      <c r="G548" s="3" t="n">
        <v>0</v>
      </c>
      <c r="H548" s="3" t="n">
        <v>0</v>
      </c>
    </row>
    <row r="549" customFormat="false" ht="14.25" hidden="false" customHeight="true" outlineLevel="0" collapsed="false">
      <c r="A549" s="1"/>
      <c r="B549" s="12" t="s">
        <v>640</v>
      </c>
      <c r="C549" s="1" t="n">
        <v>30</v>
      </c>
      <c r="E549" s="11" t="s">
        <v>94</v>
      </c>
      <c r="F549" s="11" t="str">
        <f aca="false">IFERROR(__xludf.dummyfunction("GOOGLETRANSLATE(B549,""en"",""ar"")"),"أنفق")</f>
        <v>أنفق</v>
      </c>
      <c r="G549" s="3" t="n">
        <v>0</v>
      </c>
      <c r="H549" s="3" t="n">
        <v>0</v>
      </c>
    </row>
    <row r="550" customFormat="false" ht="14.25" hidden="false" customHeight="true" outlineLevel="0" collapsed="false">
      <c r="A550" s="1"/>
      <c r="B550" s="2" t="s">
        <v>641</v>
      </c>
      <c r="C550" s="1" t="n">
        <v>30</v>
      </c>
      <c r="E550" s="11" t="s">
        <v>94</v>
      </c>
      <c r="F550" s="11" t="str">
        <f aca="false">IFERROR(__xludf.dummyfunction("GOOGLETRANSLATE(B550,""en"",""ar"")"),"حديث")</f>
        <v>حديث</v>
      </c>
      <c r="G550" s="3" t="n">
        <v>0</v>
      </c>
      <c r="H550" s="3" t="n">
        <v>0</v>
      </c>
    </row>
    <row r="551" customFormat="false" ht="14.25" hidden="false" customHeight="true" outlineLevel="0" collapsed="false">
      <c r="A551" s="1"/>
      <c r="B551" s="1" t="s">
        <v>642</v>
      </c>
      <c r="C551" s="1" t="n">
        <v>30</v>
      </c>
      <c r="E551" s="11" t="s">
        <v>79</v>
      </c>
      <c r="F551" s="11" t="str">
        <f aca="false">IFERROR(__xludf.dummyfunction("GOOGLETRANSLATE(B551,""en"",""ar"")"),"حقيقة")</f>
        <v>حقيقة</v>
      </c>
      <c r="G551" s="3" t="n">
        <v>0</v>
      </c>
      <c r="H551" s="3" t="n">
        <v>0</v>
      </c>
    </row>
    <row r="552" customFormat="false" ht="14.25" hidden="false" customHeight="true" outlineLevel="0" collapsed="false">
      <c r="A552" s="1"/>
      <c r="B552" s="12" t="s">
        <v>643</v>
      </c>
      <c r="C552" s="1" t="n">
        <v>30</v>
      </c>
      <c r="E552" s="11" t="s">
        <v>644</v>
      </c>
      <c r="F552" s="11" t="str">
        <f aca="false">IFERROR(__xludf.dummyfunction("GOOGLETRANSLATE(B552,""en"",""ar"")"),"منزعج")</f>
        <v>منزعج</v>
      </c>
      <c r="G552" s="3" t="n">
        <v>0</v>
      </c>
      <c r="H552" s="3" t="n">
        <v>0</v>
      </c>
    </row>
    <row r="553" customFormat="false" ht="13.8" hidden="false" customHeight="false" outlineLevel="0" collapsed="false">
      <c r="A553" s="1"/>
      <c r="B553" s="2" t="s">
        <v>645</v>
      </c>
      <c r="C553" s="1" t="n">
        <v>29</v>
      </c>
      <c r="E553" s="11" t="s">
        <v>12</v>
      </c>
      <c r="F553" s="11" t="str">
        <f aca="false">IFERROR(__xludf.dummyfunction("GOOGLETRANSLATE(B553,""en"",""ar"")"),"يبدأ")</f>
        <v>يبدأ</v>
      </c>
      <c r="G553" s="3" t="n">
        <v>0</v>
      </c>
      <c r="H553" s="3" t="n">
        <v>0</v>
      </c>
    </row>
    <row r="554" customFormat="false" ht="14.25" hidden="false" customHeight="true" outlineLevel="0" collapsed="false">
      <c r="A554" s="1"/>
      <c r="B554" s="2" t="s">
        <v>646</v>
      </c>
      <c r="C554" s="1" t="n">
        <v>29</v>
      </c>
      <c r="E554" s="11" t="s">
        <v>148</v>
      </c>
      <c r="F554" s="11" t="str">
        <f aca="false">IFERROR(__xludf.dummyfunction("GOOGLETRANSLATE(B554,""en"",""ar"")"),"دجاج")</f>
        <v>دجاج</v>
      </c>
      <c r="G554" s="3" t="n">
        <v>0</v>
      </c>
      <c r="H554" s="3" t="n">
        <v>0</v>
      </c>
    </row>
    <row r="555" customFormat="false" ht="14.25" hidden="false" customHeight="true" outlineLevel="0" collapsed="false">
      <c r="A555" s="1"/>
      <c r="B555" s="2" t="s">
        <v>647</v>
      </c>
      <c r="C555" s="1" t="n">
        <v>29</v>
      </c>
      <c r="E555" s="11" t="s">
        <v>648</v>
      </c>
      <c r="F555" s="11" t="str">
        <f aca="false">IFERROR(__xludf.dummyfunction("GOOGLETRANSLATE(B555,""en"",""ar"")"),"قريب")</f>
        <v>قريب</v>
      </c>
      <c r="G555" s="3" t="n">
        <v>0</v>
      </c>
      <c r="H555" s="3" t="n">
        <v>0</v>
      </c>
    </row>
    <row r="556" customFormat="false" ht="14.25" hidden="false" customHeight="true" outlineLevel="0" collapsed="false">
      <c r="A556" s="1"/>
      <c r="B556" s="2" t="s">
        <v>649</v>
      </c>
      <c r="C556" s="1" t="n">
        <v>29</v>
      </c>
      <c r="E556" s="11" t="s">
        <v>235</v>
      </c>
      <c r="F556" s="11" t="str">
        <f aca="false">IFERROR(__xludf.dummyfunction("GOOGLETRANSLATE(B556,""en"",""ar"")"),"إبداعي، خلاق")</f>
        <v>إبداعي، خلاق</v>
      </c>
      <c r="G556" s="3" t="n">
        <v>0</v>
      </c>
      <c r="H556" s="3" t="n">
        <v>0</v>
      </c>
    </row>
    <row r="557" customFormat="false" ht="14.25" hidden="false" customHeight="true" outlineLevel="0" collapsed="false">
      <c r="A557" s="1"/>
      <c r="B557" s="2" t="s">
        <v>650</v>
      </c>
      <c r="C557" s="1" t="n">
        <v>29</v>
      </c>
      <c r="E557" s="11" t="s">
        <v>119</v>
      </c>
      <c r="F557" s="11" t="str">
        <f aca="false">IFERROR(__xludf.dummyfunction("GOOGLETRANSLATE(B557,""en"",""ar"")"),"التصميم")</f>
        <v>التصميم</v>
      </c>
      <c r="G557" s="3" t="n">
        <v>0</v>
      </c>
      <c r="H557" s="3" t="n">
        <v>0</v>
      </c>
    </row>
    <row r="558" customFormat="false" ht="14.25" hidden="false" customHeight="true" outlineLevel="0" collapsed="false">
      <c r="A558" s="1"/>
      <c r="B558" s="2" t="s">
        <v>651</v>
      </c>
      <c r="C558" s="1" t="n">
        <v>29</v>
      </c>
      <c r="E558" s="11" t="s">
        <v>119</v>
      </c>
      <c r="F558" s="11" t="str">
        <f aca="false">IFERROR(__xludf.dummyfunction("GOOGLETRANSLATE(B558,""en"",""ar"")"),"خاصية")</f>
        <v>خاصية</v>
      </c>
      <c r="G558" s="3" t="n">
        <v>0</v>
      </c>
      <c r="H558" s="3" t="n">
        <v>0</v>
      </c>
    </row>
    <row r="559" customFormat="false" ht="14.25" hidden="false" customHeight="true" outlineLevel="0" collapsed="false">
      <c r="A559" s="1"/>
      <c r="B559" s="12" t="s">
        <v>652</v>
      </c>
      <c r="C559" s="1" t="n">
        <v>29</v>
      </c>
      <c r="E559" s="11" t="s">
        <v>112</v>
      </c>
      <c r="F559" s="11" t="str">
        <f aca="false">IFERROR(__xludf.dummyfunction("GOOGLETRANSLATE(B559,""en"",""ar"")"),"الأمور المالية")</f>
        <v>الأمور المالية</v>
      </c>
      <c r="G559" s="3" t="n">
        <v>0</v>
      </c>
      <c r="H559" s="3" t="n">
        <v>0</v>
      </c>
    </row>
    <row r="560" customFormat="false" ht="14.25" hidden="false" customHeight="true" outlineLevel="0" collapsed="false">
      <c r="A560" s="1"/>
      <c r="B560" s="1" t="s">
        <v>653</v>
      </c>
      <c r="C560" s="1" t="n">
        <v>29</v>
      </c>
      <c r="E560" s="11" t="s">
        <v>83</v>
      </c>
      <c r="F560" s="11" t="str">
        <f aca="false">IFERROR(__xludf.dummyfunction("GOOGLETRANSLATE(B560,""en"",""ar"")"),"رأس")</f>
        <v>رأس</v>
      </c>
      <c r="G560" s="3" t="n">
        <v>0</v>
      </c>
      <c r="H560" s="3" t="n">
        <v>0</v>
      </c>
    </row>
    <row r="561" customFormat="false" ht="14.25" hidden="false" customHeight="true" outlineLevel="0" collapsed="false">
      <c r="A561" s="1"/>
      <c r="B561" s="2" t="s">
        <v>654</v>
      </c>
      <c r="C561" s="1" t="n">
        <v>29</v>
      </c>
      <c r="E561" s="11" t="s">
        <v>79</v>
      </c>
      <c r="F561" s="11" t="str">
        <f aca="false">IFERROR(__xludf.dummyfunction("GOOGLETRANSLATE(B561,""en"",""ar"")"),"تسويق")</f>
        <v>تسويق</v>
      </c>
      <c r="G561" s="3" t="n">
        <v>0</v>
      </c>
      <c r="H561" s="3" t="n">
        <v>0</v>
      </c>
    </row>
    <row r="562" customFormat="false" ht="14.25" hidden="false" customHeight="true" outlineLevel="0" collapsed="false">
      <c r="A562" s="1"/>
      <c r="B562" s="1" t="s">
        <v>655</v>
      </c>
      <c r="C562" s="1" t="n">
        <v>29</v>
      </c>
      <c r="E562" s="11" t="s">
        <v>148</v>
      </c>
      <c r="F562" s="11" t="str">
        <f aca="false">IFERROR(__xludf.dummyfunction("GOOGLETRANSLATE(B562,""en"",""ar"")"),"مواد")</f>
        <v>مواد</v>
      </c>
      <c r="G562" s="3" t="n">
        <v>0</v>
      </c>
      <c r="H562" s="3" t="n">
        <v>0</v>
      </c>
    </row>
    <row r="563" customFormat="false" ht="14.25" hidden="false" customHeight="true" outlineLevel="0" collapsed="false">
      <c r="A563" s="1"/>
      <c r="B563" s="1" t="s">
        <v>656</v>
      </c>
      <c r="C563" s="1" t="n">
        <v>29</v>
      </c>
      <c r="E563" s="11" t="s">
        <v>112</v>
      </c>
      <c r="F563" s="11" t="str">
        <f aca="false">IFERROR(__xludf.dummyfunction("GOOGLETRANSLATE(B563,""en"",""ar"")"),"طبي")</f>
        <v>طبي</v>
      </c>
      <c r="G563" s="3" t="n">
        <v>0</v>
      </c>
      <c r="H563" s="3" t="n">
        <v>0</v>
      </c>
    </row>
    <row r="564" customFormat="false" ht="14.25" hidden="false" customHeight="true" outlineLevel="0" collapsed="false">
      <c r="A564" s="1"/>
      <c r="B564" s="12" t="s">
        <v>657</v>
      </c>
      <c r="C564" s="1" t="n">
        <v>29</v>
      </c>
      <c r="E564" s="11" t="s">
        <v>119</v>
      </c>
      <c r="F564" s="11" t="str">
        <f aca="false">IFERROR(__xludf.dummyfunction("GOOGLETRANSLATE(B564,""en"",""ar"")"),"غرض")</f>
        <v>غرض</v>
      </c>
      <c r="G564" s="3" t="n">
        <v>0</v>
      </c>
      <c r="H564" s="3" t="n">
        <v>0</v>
      </c>
    </row>
    <row r="565" customFormat="false" ht="14.25" hidden="false" customHeight="true" outlineLevel="0" collapsed="false">
      <c r="A565" s="1"/>
      <c r="B565" s="2" t="s">
        <v>658</v>
      </c>
      <c r="C565" s="1" t="n">
        <v>29</v>
      </c>
      <c r="E565" s="11" t="s">
        <v>119</v>
      </c>
      <c r="F565" s="11" t="str">
        <f aca="false">IFERROR(__xludf.dummyfunction("GOOGLETRANSLATE(B565,""en"",""ar"")"),"سؤال")</f>
        <v>سؤال</v>
      </c>
      <c r="G565" s="3" t="n">
        <v>0</v>
      </c>
      <c r="H565" s="3" t="n">
        <v>0</v>
      </c>
    </row>
    <row r="566" customFormat="false" ht="14.25" hidden="false" customHeight="true" outlineLevel="0" collapsed="false">
      <c r="A566" s="1"/>
      <c r="B566" s="1" t="s">
        <v>659</v>
      </c>
      <c r="C566" s="1" t="n">
        <v>29</v>
      </c>
      <c r="E566" s="11" t="s">
        <v>119</v>
      </c>
      <c r="F566" s="11" t="str">
        <f aca="false">IFERROR(__xludf.dummyfunction("GOOGLETRANSLATE(B566,""en"",""ar"")"),"صخر")</f>
        <v>صخر</v>
      </c>
      <c r="G566" s="3" t="n">
        <v>0</v>
      </c>
      <c r="H566" s="3" t="n">
        <v>0</v>
      </c>
    </row>
    <row r="567" customFormat="false" ht="14.25" hidden="false" customHeight="true" outlineLevel="0" collapsed="false">
      <c r="A567" s="1"/>
      <c r="B567" s="1" t="s">
        <v>660</v>
      </c>
      <c r="C567" s="1" t="n">
        <v>29</v>
      </c>
      <c r="E567" s="11" t="s">
        <v>83</v>
      </c>
      <c r="F567" s="11" t="str">
        <f aca="false">IFERROR(__xludf.dummyfunction("GOOGLETRANSLATE(B567,""en"",""ar"")"),"ملح")</f>
        <v>ملح</v>
      </c>
      <c r="G567" s="3" t="n">
        <v>0</v>
      </c>
      <c r="H567" s="3" t="n">
        <v>0</v>
      </c>
    </row>
    <row r="568" customFormat="false" ht="14.25" hidden="false" customHeight="true" outlineLevel="0" collapsed="false">
      <c r="A568" s="1"/>
      <c r="B568" s="2" t="s">
        <v>661</v>
      </c>
      <c r="C568" s="1" t="n">
        <v>29</v>
      </c>
      <c r="E568" s="11" t="s">
        <v>94</v>
      </c>
      <c r="F568" s="11" t="str">
        <f aca="false">IFERROR(__xludf.dummyfunction("GOOGLETRANSLATE(B568,""en"",""ar"")"),"يخبار")</f>
        <v>يخبار</v>
      </c>
      <c r="G568" s="3" t="n">
        <v>0</v>
      </c>
      <c r="H568" s="3" t="n">
        <v>0</v>
      </c>
    </row>
    <row r="569" customFormat="false" ht="14.25" hidden="false" customHeight="true" outlineLevel="0" collapsed="false">
      <c r="A569" s="1"/>
      <c r="B569" s="1" t="s">
        <v>662</v>
      </c>
      <c r="C569" s="1" t="n">
        <v>29</v>
      </c>
      <c r="E569" s="11" t="s">
        <v>30</v>
      </c>
      <c r="F569" s="11" t="str">
        <f aca="false">IFERROR(__xludf.dummyfunction("GOOGLETRANSLATE(B569,""en"",""ar"")"),"أنفسهم")</f>
        <v>أنفسهم</v>
      </c>
      <c r="G569" s="3" t="n">
        <v>0</v>
      </c>
      <c r="H569" s="3" t="n">
        <v>0</v>
      </c>
    </row>
    <row r="570" customFormat="false" ht="14.25" hidden="false" customHeight="true" outlineLevel="0" collapsed="false">
      <c r="A570" s="1"/>
      <c r="B570" s="1" t="s">
        <v>663</v>
      </c>
      <c r="C570" s="1" t="n">
        <v>29</v>
      </c>
      <c r="E570" s="11" t="s">
        <v>112</v>
      </c>
      <c r="F570" s="11" t="str">
        <f aca="false">IFERROR(__xludf.dummyfunction("GOOGLETRANSLATE(B570,""en"",""ar"")"),"التقليديين")</f>
        <v>التقليديين</v>
      </c>
      <c r="G570" s="3" t="n">
        <v>0</v>
      </c>
      <c r="H570" s="3" t="n">
        <v>0</v>
      </c>
    </row>
    <row r="571" customFormat="false" ht="14.25" hidden="false" customHeight="true" outlineLevel="0" collapsed="false">
      <c r="A571" s="1"/>
      <c r="B571" s="1" t="s">
        <v>664</v>
      </c>
      <c r="C571" s="1" t="n">
        <v>29</v>
      </c>
      <c r="E571" s="11" t="s">
        <v>79</v>
      </c>
      <c r="F571" s="11" t="str">
        <f aca="false">IFERROR(__xludf.dummyfunction("GOOGLETRANSLATE(B571,""en"",""ar"")"),"جامعة")</f>
        <v>جامعة</v>
      </c>
      <c r="G571" s="3" t="n">
        <v>0</v>
      </c>
      <c r="H571" s="3" t="n">
        <v>0</v>
      </c>
    </row>
    <row r="572" customFormat="false" ht="14.25" hidden="false" customHeight="true" outlineLevel="0" collapsed="false">
      <c r="A572" s="1"/>
      <c r="B572" s="1" t="s">
        <v>665</v>
      </c>
      <c r="C572" s="1" t="n">
        <v>29</v>
      </c>
      <c r="E572" s="11" t="s">
        <v>79</v>
      </c>
      <c r="F572" s="11" t="str">
        <f aca="false">IFERROR(__xludf.dummyfunction("GOOGLETRANSLATE(B572,""en"",""ar"")"),"جاري الكتابة")</f>
        <v>جاري الكتابة</v>
      </c>
      <c r="G572" s="3" t="n">
        <v>0</v>
      </c>
      <c r="H572" s="3" t="n">
        <v>0</v>
      </c>
    </row>
    <row r="573" customFormat="false" ht="14.25" hidden="false" customHeight="true" outlineLevel="0" collapsed="false">
      <c r="A573" s="1"/>
      <c r="B573" s="1" t="s">
        <v>666</v>
      </c>
      <c r="C573" s="1" t="n">
        <v>28</v>
      </c>
      <c r="E573" s="11" t="s">
        <v>119</v>
      </c>
      <c r="F573" s="11" t="str">
        <f aca="false">IFERROR(__xludf.dummyfunction("GOOGLETRANSLATE(B573,""en"",""ar"")"),"يمثل")</f>
        <v>يمثل</v>
      </c>
      <c r="G573" s="3" t="n">
        <v>0</v>
      </c>
      <c r="H573" s="3" t="n">
        <v>0</v>
      </c>
    </row>
    <row r="574" customFormat="false" ht="14.25" hidden="false" customHeight="true" outlineLevel="0" collapsed="false">
      <c r="A574" s="1"/>
      <c r="B574" s="1" t="s">
        <v>667</v>
      </c>
      <c r="C574" s="1" t="n">
        <v>28</v>
      </c>
      <c r="E574" s="11" t="s">
        <v>79</v>
      </c>
      <c r="F574" s="11" t="str">
        <f aca="false">IFERROR(__xludf.dummyfunction("GOOGLETRANSLATE(B574,""en"",""ar"")"),"مقالة - سلعة")</f>
        <v>مقالة - سلعة</v>
      </c>
      <c r="G574" s="3" t="n">
        <v>0</v>
      </c>
      <c r="H574" s="3" t="n">
        <v>0</v>
      </c>
    </row>
    <row r="575" customFormat="false" ht="14.25" hidden="false" customHeight="true" outlineLevel="0" collapsed="false">
      <c r="A575" s="1"/>
      <c r="B575" s="1" t="s">
        <v>668</v>
      </c>
      <c r="C575" s="1" t="n">
        <v>28</v>
      </c>
      <c r="E575" s="11" t="s">
        <v>119</v>
      </c>
      <c r="F575" s="11" t="str">
        <f aca="false">IFERROR(__xludf.dummyfunction("GOOGLETRANSLATE(B575,""en"",""ar"")"),"ولادة")</f>
        <v>ولادة</v>
      </c>
      <c r="G575" s="3" t="n">
        <v>0</v>
      </c>
      <c r="H575" s="3" t="n">
        <v>0</v>
      </c>
    </row>
    <row r="576" customFormat="false" ht="14.25" hidden="false" customHeight="true" outlineLevel="0" collapsed="false">
      <c r="A576" s="1"/>
      <c r="B576" s="1" t="s">
        <v>669</v>
      </c>
      <c r="C576" s="1" t="n">
        <v>28</v>
      </c>
      <c r="E576" s="11" t="s">
        <v>148</v>
      </c>
      <c r="F576" s="11" t="str">
        <f aca="false">IFERROR(__xludf.dummyfunction("GOOGLETRANSLATE(B576,""en"",""ar"")"),"جمل")</f>
        <v>جمل</v>
      </c>
      <c r="G576" s="3" t="n">
        <v>0</v>
      </c>
      <c r="H576" s="3" t="n">
        <v>0</v>
      </c>
    </row>
    <row r="577" customFormat="false" ht="14.25" hidden="false" customHeight="true" outlineLevel="0" collapsed="false">
      <c r="A577" s="1"/>
      <c r="B577" s="1" t="s">
        <v>670</v>
      </c>
      <c r="C577" s="1" t="n">
        <v>28</v>
      </c>
      <c r="E577" s="11" t="s">
        <v>94</v>
      </c>
      <c r="F577" s="11" t="str">
        <f aca="false">IFERROR(__xludf.dummyfunction("GOOGLETRANSLATE(B577,""en"",""ar"")"),"كلفة")</f>
        <v>كلفة</v>
      </c>
      <c r="G577" s="3" t="n">
        <v>0</v>
      </c>
      <c r="H577" s="3" t="n">
        <v>0</v>
      </c>
    </row>
    <row r="578" customFormat="false" ht="14.25" hidden="false" customHeight="true" outlineLevel="0" collapsed="false">
      <c r="A578" s="1"/>
      <c r="B578" s="1" t="s">
        <v>671</v>
      </c>
      <c r="C578" s="1" t="n">
        <v>28</v>
      </c>
      <c r="E578" s="11" t="s">
        <v>79</v>
      </c>
      <c r="F578" s="11" t="str">
        <f aca="false">IFERROR(__xludf.dummyfunction("GOOGLETRANSLATE(B578,""en"",""ar"")"),"قسم")</f>
        <v>قسم</v>
      </c>
      <c r="G578" s="3" t="n">
        <v>0</v>
      </c>
      <c r="H578" s="3" t="n">
        <v>0</v>
      </c>
    </row>
    <row r="579" customFormat="false" ht="14.25" hidden="false" customHeight="true" outlineLevel="0" collapsed="false">
      <c r="A579" s="1"/>
      <c r="B579" s="1" t="s">
        <v>672</v>
      </c>
      <c r="C579" s="1" t="n">
        <v>28</v>
      </c>
      <c r="E579" s="11" t="s">
        <v>79</v>
      </c>
      <c r="F579" s="11" t="str">
        <f aca="false">IFERROR(__xludf.dummyfunction("GOOGLETRANSLATE(B579,""en"",""ar"")"),"فرق")</f>
        <v>فرق</v>
      </c>
      <c r="G579" s="3" t="n">
        <v>0</v>
      </c>
      <c r="H579" s="3" t="n">
        <v>0</v>
      </c>
    </row>
    <row r="580" customFormat="false" ht="14.25" hidden="false" customHeight="true" outlineLevel="0" collapsed="false">
      <c r="A580" s="1"/>
      <c r="B580" s="2" t="s">
        <v>673</v>
      </c>
      <c r="C580" s="1" t="n">
        <v>28</v>
      </c>
      <c r="E580" s="11" t="s">
        <v>119</v>
      </c>
      <c r="F580" s="11" t="str">
        <f aca="false">IFERROR(__xludf.dummyfunction("GOOGLETRANSLATE(B580,""en"",""ar"")"),"كلب")</f>
        <v>كلب</v>
      </c>
      <c r="G580" s="3" t="n">
        <v>0</v>
      </c>
      <c r="H580" s="3" t="n">
        <v>0</v>
      </c>
    </row>
    <row r="581" customFormat="false" ht="14.25" hidden="false" customHeight="true" outlineLevel="0" collapsed="false">
      <c r="A581" s="1"/>
      <c r="B581" s="1" t="s">
        <v>674</v>
      </c>
      <c r="C581" s="1" t="n">
        <v>28</v>
      </c>
      <c r="E581" s="11" t="s">
        <v>94</v>
      </c>
      <c r="F581" s="11" t="str">
        <f aca="false">IFERROR(__xludf.dummyfunction("GOOGLETRANSLATE(B581,""en"",""ar"")"),"قيادة")</f>
        <v>قيادة</v>
      </c>
      <c r="G581" s="3" t="n">
        <v>0</v>
      </c>
      <c r="H581" s="3" t="n">
        <v>0</v>
      </c>
    </row>
    <row r="582" customFormat="false" ht="14.25" hidden="false" customHeight="true" outlineLevel="0" collapsed="false">
      <c r="A582" s="1"/>
      <c r="B582" s="1" t="s">
        <v>675</v>
      </c>
      <c r="C582" s="1" t="n">
        <v>28</v>
      </c>
      <c r="E582" s="11" t="s">
        <v>12</v>
      </c>
      <c r="F582" s="11" t="str">
        <f aca="false">IFERROR(__xludf.dummyfunction("GOOGLETRANSLATE(B582,""en"",""ar"")"),"يخرج")</f>
        <v>يخرج</v>
      </c>
      <c r="G582" s="3" t="n">
        <v>0</v>
      </c>
      <c r="H582" s="3" t="n">
        <v>0</v>
      </c>
    </row>
    <row r="583" customFormat="false" ht="14.25" hidden="false" customHeight="true" outlineLevel="0" collapsed="false">
      <c r="A583" s="1"/>
      <c r="B583" s="1" t="s">
        <v>676</v>
      </c>
      <c r="C583" s="1" t="n">
        <v>28</v>
      </c>
      <c r="E583" s="11" t="s">
        <v>112</v>
      </c>
      <c r="F583" s="11" t="str">
        <f aca="false">IFERROR(__xludf.dummyfunction("GOOGLETRANSLATE(B583,""en"",""ar"")"),"فدرالي")</f>
        <v>فدرالي</v>
      </c>
      <c r="G583" s="3" t="n">
        <v>0</v>
      </c>
      <c r="H583" s="3" t="n">
        <v>0</v>
      </c>
    </row>
    <row r="584" customFormat="false" ht="14.25" hidden="false" customHeight="true" outlineLevel="0" collapsed="false">
      <c r="A584" s="1"/>
      <c r="B584" s="1" t="s">
        <v>677</v>
      </c>
      <c r="C584" s="1" t="n">
        <v>28</v>
      </c>
      <c r="E584" s="11" t="s">
        <v>79</v>
      </c>
      <c r="F584" s="11" t="str">
        <f aca="false">IFERROR(__xludf.dummyfunction("GOOGLETRANSLATE(B584,""en"",""ar"")"),"هدف")</f>
        <v>هدف</v>
      </c>
      <c r="G584" s="3" t="n">
        <v>0</v>
      </c>
      <c r="H584" s="3" t="n">
        <v>0</v>
      </c>
    </row>
    <row r="585" customFormat="false" ht="14.25" hidden="false" customHeight="true" outlineLevel="0" collapsed="false">
      <c r="A585" s="1"/>
      <c r="B585" s="1" t="s">
        <v>678</v>
      </c>
      <c r="C585" s="1" t="n">
        <v>28</v>
      </c>
      <c r="E585" s="11" t="s">
        <v>405</v>
      </c>
      <c r="F585" s="11" t="str">
        <f aca="false">IFERROR(__xludf.dummyfunction("GOOGLETRANSLATE(B585,""en"",""ar"")"),"لون أخضر")</f>
        <v>لون أخضر</v>
      </c>
      <c r="G585" s="3" t="n">
        <v>0</v>
      </c>
      <c r="H585" s="3" t="n">
        <v>0</v>
      </c>
    </row>
    <row r="586" customFormat="false" ht="14.25" hidden="false" customHeight="true" outlineLevel="0" collapsed="false">
      <c r="A586" s="1"/>
      <c r="B586" s="1" t="s">
        <v>679</v>
      </c>
      <c r="C586" s="1" t="n">
        <v>28</v>
      </c>
      <c r="E586" s="11" t="s">
        <v>336</v>
      </c>
      <c r="F586" s="11" t="str">
        <f aca="false">IFERROR(__xludf.dummyfunction("GOOGLETRANSLATE(B586,""en"",""ar"")"),"متأخر")</f>
        <v>متأخر</v>
      </c>
      <c r="G586" s="3" t="n">
        <v>0</v>
      </c>
      <c r="H586" s="3" t="n">
        <v>0</v>
      </c>
    </row>
    <row r="587" customFormat="false" ht="14.25" hidden="false" customHeight="true" outlineLevel="0" collapsed="false">
      <c r="A587" s="1"/>
      <c r="B587" s="1" t="s">
        <v>680</v>
      </c>
      <c r="C587" s="1" t="n">
        <v>28</v>
      </c>
      <c r="E587" s="11" t="s">
        <v>79</v>
      </c>
      <c r="F587" s="11" t="str">
        <f aca="false">IFERROR(__xludf.dummyfunction("GOOGLETRANSLATE(B587,""en"",""ar"")"),"الإخبارية")</f>
        <v>الإخبارية</v>
      </c>
      <c r="G587" s="3" t="n">
        <v>0</v>
      </c>
      <c r="H587" s="3" t="n">
        <v>0</v>
      </c>
    </row>
    <row r="588" customFormat="false" ht="14.25" hidden="false" customHeight="true" outlineLevel="0" collapsed="false">
      <c r="A588" s="1"/>
      <c r="B588" s="1" t="s">
        <v>681</v>
      </c>
      <c r="C588" s="1" t="n">
        <v>28</v>
      </c>
      <c r="E588" s="11" t="s">
        <v>119</v>
      </c>
      <c r="F588" s="11" t="str">
        <f aca="false">IFERROR(__xludf.dummyfunction("GOOGLETRANSLATE(B588,""en"",""ar"")"),"موضوع")</f>
        <v>موضوع</v>
      </c>
      <c r="G588" s="3" t="n">
        <v>0</v>
      </c>
      <c r="H588" s="3" t="n">
        <v>0</v>
      </c>
    </row>
    <row r="589" customFormat="false" ht="14.25" hidden="false" customHeight="true" outlineLevel="0" collapsed="false">
      <c r="A589" s="1"/>
      <c r="B589" s="1" t="s">
        <v>682</v>
      </c>
      <c r="C589" s="1" t="n">
        <v>28</v>
      </c>
      <c r="E589" s="11" t="s">
        <v>119</v>
      </c>
      <c r="F589" s="11" t="str">
        <f aca="false">IFERROR(__xludf.dummyfunction("GOOGLETRANSLATE(B589,""en"",""ar"")"),"مقياس")</f>
        <v>مقياس</v>
      </c>
      <c r="G589" s="3" t="n">
        <v>0</v>
      </c>
      <c r="H589" s="3" t="n">
        <v>0</v>
      </c>
    </row>
    <row r="590" customFormat="false" ht="14.25" hidden="false" customHeight="true" outlineLevel="0" collapsed="false">
      <c r="A590" s="1"/>
      <c r="B590" s="1" t="s">
        <v>683</v>
      </c>
      <c r="C590" s="1" t="n">
        <v>28</v>
      </c>
      <c r="E590" s="11" t="s">
        <v>119</v>
      </c>
      <c r="F590" s="11" t="str">
        <f aca="false">IFERROR(__xludf.dummyfunction("GOOGLETRANSLATE(B590,""en"",""ar"")"),"شمس")</f>
        <v>شمس</v>
      </c>
      <c r="G590" s="3" t="n">
        <v>0</v>
      </c>
      <c r="H590" s="3" t="n">
        <v>0</v>
      </c>
    </row>
    <row r="591" customFormat="false" ht="14.25" hidden="false" customHeight="true" outlineLevel="0" collapsed="false">
      <c r="A591" s="1"/>
      <c r="B591" s="1" t="s">
        <v>684</v>
      </c>
      <c r="C591" s="1" t="n">
        <v>28</v>
      </c>
      <c r="E591" s="11" t="s">
        <v>94</v>
      </c>
      <c r="F591" s="11" t="str">
        <f aca="false">IFERROR(__xludf.dummyfunction("GOOGLETRANSLATE(B591,""en"",""ar"")"),"الدعم")</f>
        <v>الدعم</v>
      </c>
      <c r="G591" s="3" t="n">
        <v>0</v>
      </c>
      <c r="H591" s="3" t="n">
        <v>0</v>
      </c>
    </row>
    <row r="592" customFormat="false" ht="14.25" hidden="false" customHeight="true" outlineLevel="0" collapsed="false">
      <c r="A592" s="1"/>
      <c r="B592" s="1" t="s">
        <v>685</v>
      </c>
      <c r="C592" s="1" t="n">
        <v>28</v>
      </c>
      <c r="E592" s="11" t="s">
        <v>12</v>
      </c>
      <c r="F592" s="11" t="str">
        <f aca="false">IFERROR(__xludf.dummyfunction("GOOGLETRANSLATE(B592,""en"",""ar"")"),"ينزع")</f>
        <v>ينزع</v>
      </c>
      <c r="G592" s="3" t="n">
        <v>0</v>
      </c>
      <c r="H592" s="3" t="n">
        <v>0</v>
      </c>
    </row>
    <row r="593" customFormat="false" ht="14.25" hidden="false" customHeight="true" outlineLevel="0" collapsed="false">
      <c r="A593" s="1"/>
      <c r="B593" s="1" t="s">
        <v>686</v>
      </c>
      <c r="C593" s="1" t="n">
        <v>28</v>
      </c>
      <c r="E593" s="11" t="s">
        <v>42</v>
      </c>
      <c r="F593" s="11" t="str">
        <f aca="false">IFERROR(__xludf.dummyfunction("GOOGLETRANSLATE(B593,""en"",""ar"")"),"هكذا")</f>
        <v>هكذا</v>
      </c>
      <c r="G593" s="3" t="n">
        <v>0</v>
      </c>
      <c r="H593" s="3" t="n">
        <v>0</v>
      </c>
    </row>
    <row r="594" customFormat="false" ht="14.25" hidden="false" customHeight="true" outlineLevel="0" collapsed="false">
      <c r="A594" s="1"/>
      <c r="B594" s="1" t="s">
        <v>687</v>
      </c>
      <c r="C594" s="1" t="n">
        <v>27</v>
      </c>
      <c r="E594" s="11" t="s">
        <v>79</v>
      </c>
      <c r="F594" s="11" t="str">
        <f aca="false">IFERROR(__xludf.dummyfunction("GOOGLETRANSLATE(B594,""en"",""ar"")"),"جمهور")</f>
        <v>جمهور</v>
      </c>
      <c r="G594" s="3" t="n">
        <v>0</v>
      </c>
      <c r="H594" s="3" t="n">
        <v>0</v>
      </c>
    </row>
    <row r="595" customFormat="false" ht="14.25" hidden="false" customHeight="true" outlineLevel="0" collapsed="false">
      <c r="A595" s="1"/>
      <c r="B595" s="1" t="s">
        <v>688</v>
      </c>
      <c r="C595" s="1" t="n">
        <v>27</v>
      </c>
      <c r="E595" s="11" t="s">
        <v>12</v>
      </c>
      <c r="F595" s="11" t="str">
        <f aca="false">IFERROR(__xludf.dummyfunction("GOOGLETRANSLATE(B595,""en"",""ar"")"),"التمتع")</f>
        <v>التمتع</v>
      </c>
      <c r="G595" s="3" t="n">
        <v>0</v>
      </c>
      <c r="H595" s="3" t="n">
        <v>0</v>
      </c>
    </row>
    <row r="596" customFormat="false" ht="14.25" hidden="false" customHeight="true" outlineLevel="0" collapsed="false">
      <c r="A596" s="1"/>
      <c r="B596" s="1" t="s">
        <v>689</v>
      </c>
      <c r="C596" s="1" t="n">
        <v>27</v>
      </c>
      <c r="E596" s="11" t="s">
        <v>112</v>
      </c>
      <c r="F596" s="11" t="str">
        <f aca="false">IFERROR(__xludf.dummyfunction("GOOGLETRANSLATE(B596,""en"",""ar"")"),"بأكمله")</f>
        <v>بأكمله</v>
      </c>
      <c r="G596" s="3" t="n">
        <v>0</v>
      </c>
      <c r="H596" s="3" t="n">
        <v>0</v>
      </c>
    </row>
    <row r="597" customFormat="false" ht="14.25" hidden="false" customHeight="true" outlineLevel="0" collapsed="false">
      <c r="A597" s="1"/>
      <c r="B597" s="1" t="s">
        <v>690</v>
      </c>
      <c r="C597" s="1" t="n">
        <v>27</v>
      </c>
      <c r="E597" s="11" t="s">
        <v>79</v>
      </c>
      <c r="F597" s="11" t="str">
        <f aca="false">IFERROR(__xludf.dummyfunction("GOOGLETRANSLATE(B597,""en"",""ar"")"),"صيد السمك")</f>
        <v>صيد السمك</v>
      </c>
      <c r="G597" s="3" t="n">
        <v>0</v>
      </c>
      <c r="H597" s="3" t="n">
        <v>0</v>
      </c>
    </row>
    <row r="598" customFormat="false" ht="14.25" hidden="false" customHeight="true" outlineLevel="0" collapsed="false">
      <c r="A598" s="1"/>
      <c r="B598" s="1" t="s">
        <v>691</v>
      </c>
      <c r="C598" s="1" t="n">
        <v>27</v>
      </c>
      <c r="E598" s="11" t="s">
        <v>509</v>
      </c>
      <c r="F598" s="11" t="str">
        <f aca="false">IFERROR(__xludf.dummyfunction("GOOGLETRANSLATE(B598,""en"",""ar"")"),"نحيف")</f>
        <v>نحيف</v>
      </c>
      <c r="G598" s="3" t="n">
        <v>0</v>
      </c>
      <c r="H598" s="3" t="n">
        <v>0</v>
      </c>
    </row>
    <row r="599" customFormat="false" ht="14.25" hidden="false" customHeight="true" outlineLevel="0" collapsed="false">
      <c r="A599" s="1"/>
      <c r="B599" s="1" t="s">
        <v>692</v>
      </c>
      <c r="C599" s="1" t="n">
        <v>27</v>
      </c>
      <c r="E599" s="11" t="s">
        <v>235</v>
      </c>
      <c r="F599" s="11" t="str">
        <f aca="false">IFERROR(__xludf.dummyfunction("GOOGLETRANSLATE(B599,""en"",""ar"")"),"مسرور")</f>
        <v>مسرور</v>
      </c>
      <c r="G599" s="3" t="n">
        <v>0</v>
      </c>
      <c r="H599" s="3" t="n">
        <v>0</v>
      </c>
    </row>
    <row r="600" customFormat="false" ht="14.25" hidden="false" customHeight="true" outlineLevel="0" collapsed="false">
      <c r="A600" s="1"/>
      <c r="B600" s="1" t="s">
        <v>693</v>
      </c>
      <c r="C600" s="1" t="n">
        <v>27</v>
      </c>
      <c r="E600" s="11" t="s">
        <v>79</v>
      </c>
      <c r="F600" s="11" t="str">
        <f aca="false">IFERROR(__xludf.dummyfunction("GOOGLETRANSLATE(B600,""en"",""ar"")"),"نمو")</f>
        <v>نمو</v>
      </c>
      <c r="G600" s="3" t="n">
        <v>0</v>
      </c>
      <c r="H600" s="3" t="n">
        <v>0</v>
      </c>
    </row>
    <row r="601" customFormat="false" ht="14.25" hidden="false" customHeight="true" outlineLevel="0" collapsed="false">
      <c r="A601" s="1"/>
      <c r="B601" s="1" t="s">
        <v>694</v>
      </c>
      <c r="C601" s="1" t="n">
        <v>27</v>
      </c>
      <c r="E601" s="11" t="s">
        <v>79</v>
      </c>
      <c r="F601" s="11" t="str">
        <f aca="false">IFERROR(__xludf.dummyfunction("GOOGLETRANSLATE(B601,""en"",""ar"")"),"الإيرادات")</f>
        <v>الإيرادات</v>
      </c>
      <c r="G601" s="3" t="n">
        <v>0</v>
      </c>
      <c r="H601" s="3" t="n">
        <v>0</v>
      </c>
    </row>
    <row r="602" customFormat="false" ht="14.25" hidden="false" customHeight="true" outlineLevel="0" collapsed="false">
      <c r="A602" s="1"/>
      <c r="B602" s="1" t="s">
        <v>695</v>
      </c>
      <c r="C602" s="1" t="n">
        <v>27</v>
      </c>
      <c r="E602" s="11" t="s">
        <v>79</v>
      </c>
      <c r="F602" s="11" t="str">
        <f aca="false">IFERROR(__xludf.dummyfunction("GOOGLETRANSLATE(B602,""en"",""ar"")"),"زواج")</f>
        <v>زواج</v>
      </c>
      <c r="G602" s="3" t="n">
        <v>0</v>
      </c>
      <c r="H602" s="3" t="n">
        <v>0</v>
      </c>
    </row>
    <row r="603" customFormat="false" ht="14.25" hidden="false" customHeight="true" outlineLevel="0" collapsed="false">
      <c r="A603" s="1"/>
      <c r="B603" s="1" t="s">
        <v>696</v>
      </c>
      <c r="C603" s="1" t="n">
        <v>27</v>
      </c>
      <c r="E603" s="11" t="s">
        <v>119</v>
      </c>
      <c r="F603" s="11" t="str">
        <f aca="false">IFERROR(__xludf.dummyfunction("GOOGLETRANSLATE(B603,""en"",""ar"")"),"ملاحظة")</f>
        <v>ملاحظة</v>
      </c>
      <c r="G603" s="3" t="n">
        <v>0</v>
      </c>
      <c r="H603" s="3" t="n">
        <v>0</v>
      </c>
    </row>
    <row r="604" customFormat="false" ht="14.25" hidden="false" customHeight="true" outlineLevel="0" collapsed="false">
      <c r="A604" s="1"/>
      <c r="B604" s="1" t="s">
        <v>697</v>
      </c>
      <c r="C604" s="1" t="n">
        <v>27</v>
      </c>
      <c r="E604" s="11" t="s">
        <v>12</v>
      </c>
      <c r="F604" s="11" t="str">
        <f aca="false">IFERROR(__xludf.dummyfunction("GOOGLETRANSLATE(B604,""en"",""ar"")"),"نفذ")</f>
        <v>نفذ</v>
      </c>
      <c r="G604" s="3" t="n">
        <v>0</v>
      </c>
      <c r="H604" s="3" t="n">
        <v>0</v>
      </c>
    </row>
    <row r="605" customFormat="false" ht="14.25" hidden="false" customHeight="true" outlineLevel="0" collapsed="false">
      <c r="A605" s="1"/>
      <c r="B605" s="1" t="s">
        <v>698</v>
      </c>
      <c r="C605" s="1" t="n">
        <v>27</v>
      </c>
      <c r="E605" s="11" t="s">
        <v>119</v>
      </c>
      <c r="F605" s="11" t="str">
        <f aca="false">IFERROR(__xludf.dummyfunction("GOOGLETRANSLATE(B605,""en"",""ar"")"),"ربح")</f>
        <v>ربح</v>
      </c>
      <c r="G605" s="3" t="n">
        <v>0</v>
      </c>
      <c r="H605" s="3" t="n">
        <v>0</v>
      </c>
    </row>
    <row r="606" customFormat="false" ht="14.25" hidden="false" customHeight="true" outlineLevel="0" collapsed="false">
      <c r="A606" s="1"/>
      <c r="B606" s="1" t="s">
        <v>699</v>
      </c>
      <c r="C606" s="1" t="n">
        <v>27</v>
      </c>
      <c r="E606" s="11" t="s">
        <v>336</v>
      </c>
      <c r="F606" s="11" t="str">
        <f aca="false">IFERROR(__xludf.dummyfunction("GOOGLETRANSLATE(B606,""en"",""ar"")"),"سليم")</f>
        <v>سليم</v>
      </c>
      <c r="G606" s="3" t="n">
        <v>0</v>
      </c>
      <c r="H606" s="3" t="n">
        <v>0</v>
      </c>
    </row>
    <row r="607" customFormat="false" ht="14.25" hidden="false" customHeight="true" outlineLevel="0" collapsed="false">
      <c r="A607" s="1"/>
      <c r="B607" s="1" t="s">
        <v>700</v>
      </c>
      <c r="C607" s="1" t="n">
        <v>27</v>
      </c>
      <c r="E607" s="11" t="s">
        <v>87</v>
      </c>
      <c r="F607" s="11" t="str">
        <f aca="false">IFERROR(__xludf.dummyfunction("GOOGLETRANSLATE(B607,""en"",""ar"")"),"ذات صلة")</f>
        <v>ذات صلة</v>
      </c>
      <c r="G607" s="3" t="n">
        <v>0</v>
      </c>
      <c r="H607" s="3" t="n">
        <v>0</v>
      </c>
    </row>
    <row r="608" customFormat="false" ht="14.25" hidden="false" customHeight="true" outlineLevel="0" collapsed="false">
      <c r="A608" s="1"/>
      <c r="B608" s="1" t="s">
        <v>701</v>
      </c>
      <c r="C608" s="1" t="n">
        <v>27</v>
      </c>
      <c r="E608" s="11" t="s">
        <v>94</v>
      </c>
      <c r="F608" s="11" t="str">
        <f aca="false">IFERROR(__xludf.dummyfunction("GOOGLETRANSLATE(B608,""en"",""ar"")"),"إزالة")</f>
        <v>إزالة</v>
      </c>
      <c r="G608" s="3" t="n">
        <v>0</v>
      </c>
      <c r="H608" s="3" t="n">
        <v>0</v>
      </c>
    </row>
    <row r="609" customFormat="false" ht="14.25" hidden="false" customHeight="true" outlineLevel="0" collapsed="false">
      <c r="A609" s="1"/>
      <c r="B609" s="1" t="s">
        <v>702</v>
      </c>
      <c r="C609" s="1" t="n">
        <v>27</v>
      </c>
      <c r="E609" s="11" t="s">
        <v>119</v>
      </c>
      <c r="F609" s="11" t="str">
        <f aca="false">IFERROR(__xludf.dummyfunction("GOOGLETRANSLATE(B609,""en"",""ar"")"),"تأجير")</f>
        <v>تأجير</v>
      </c>
      <c r="G609" s="3" t="n">
        <v>0</v>
      </c>
      <c r="H609" s="3" t="n">
        <v>0</v>
      </c>
    </row>
    <row r="610" customFormat="false" ht="14.25" hidden="false" customHeight="true" outlineLevel="0" collapsed="false">
      <c r="A610" s="1"/>
      <c r="B610" s="1" t="s">
        <v>703</v>
      </c>
      <c r="C610" s="1" t="n">
        <v>27</v>
      </c>
      <c r="E610" s="11" t="s">
        <v>94</v>
      </c>
      <c r="F610" s="11" t="str">
        <f aca="false">IFERROR(__xludf.dummyfunction("GOOGLETRANSLATE(B610,""en"",""ar"")"),"إرجاع")</f>
        <v>إرجاع</v>
      </c>
      <c r="G610" s="3" t="n">
        <v>0</v>
      </c>
      <c r="H610" s="3" t="n">
        <v>0</v>
      </c>
    </row>
    <row r="611" customFormat="false" ht="14.25" hidden="false" customHeight="true" outlineLevel="0" collapsed="false">
      <c r="A611" s="1"/>
      <c r="B611" s="1" t="s">
        <v>704</v>
      </c>
      <c r="C611" s="1" t="n">
        <v>27</v>
      </c>
      <c r="E611" s="11" t="s">
        <v>94</v>
      </c>
      <c r="F611" s="11" t="str">
        <f aca="false">IFERROR(__xludf.dummyfunction("GOOGLETRANSLATE(B611,""en"",""ar"")"),"يركض")</f>
        <v>يركض</v>
      </c>
      <c r="G611" s="3" t="n">
        <v>0</v>
      </c>
      <c r="H611" s="3" t="n">
        <v>0</v>
      </c>
    </row>
    <row r="612" customFormat="false" ht="14.25" hidden="false" customHeight="true" outlineLevel="0" collapsed="false">
      <c r="A612" s="1"/>
      <c r="B612" s="1" t="s">
        <v>705</v>
      </c>
      <c r="C612" s="1" t="n">
        <v>27</v>
      </c>
      <c r="E612" s="11" t="s">
        <v>119</v>
      </c>
      <c r="F612" s="11" t="str">
        <f aca="false">IFERROR(__xludf.dummyfunction("GOOGLETRANSLATE(B612,""en"",""ar"")"),"سرعة")</f>
        <v>سرعة</v>
      </c>
      <c r="G612" s="3" t="n">
        <v>0</v>
      </c>
      <c r="H612" s="3" t="n">
        <v>0</v>
      </c>
    </row>
    <row r="613" customFormat="false" ht="14.25" hidden="false" customHeight="true" outlineLevel="0" collapsed="false">
      <c r="A613" s="1"/>
      <c r="B613" s="1" t="s">
        <v>706</v>
      </c>
      <c r="C613" s="1" t="n">
        <v>27</v>
      </c>
      <c r="E613" s="11" t="s">
        <v>112</v>
      </c>
      <c r="F613" s="11" t="str">
        <f aca="false">IFERROR(__xludf.dummyfunction("GOOGLETRANSLATE(B613,""en"",""ar"")"),"قوي")</f>
        <v>قوي</v>
      </c>
      <c r="G613" s="3" t="n">
        <v>0</v>
      </c>
      <c r="H613" s="3" t="n">
        <v>0</v>
      </c>
    </row>
    <row r="614" customFormat="false" ht="14.25" hidden="false" customHeight="true" outlineLevel="0" collapsed="false">
      <c r="A614" s="1"/>
      <c r="B614" s="1" t="s">
        <v>707</v>
      </c>
      <c r="C614" s="1" t="n">
        <v>27</v>
      </c>
      <c r="E614" s="11" t="s">
        <v>119</v>
      </c>
      <c r="F614" s="11" t="str">
        <f aca="false">IFERROR(__xludf.dummyfunction("GOOGLETRANSLATE(B614,""en"",""ar"")"),"نمط")</f>
        <v>نمط</v>
      </c>
      <c r="G614" s="3" t="n">
        <v>0</v>
      </c>
      <c r="H614" s="3" t="n">
        <v>0</v>
      </c>
    </row>
    <row r="615" customFormat="false" ht="14.25" hidden="false" customHeight="true" outlineLevel="0" collapsed="false">
      <c r="A615" s="1"/>
      <c r="B615" s="1" t="s">
        <v>708</v>
      </c>
      <c r="C615" s="1" t="n">
        <v>27</v>
      </c>
      <c r="E615" s="11" t="s">
        <v>32</v>
      </c>
      <c r="F615" s="11" t="str">
        <f aca="false">IFERROR(__xludf.dummyfunction("GOOGLETRANSLATE(B615,""en"",""ar"")"),"على مدار")</f>
        <v>على مدار</v>
      </c>
      <c r="G615" s="3" t="n">
        <v>0</v>
      </c>
      <c r="H615" s="3" t="n">
        <v>0</v>
      </c>
    </row>
    <row r="616" customFormat="false" ht="14.25" hidden="false" customHeight="true" outlineLevel="0" collapsed="false">
      <c r="A616" s="1"/>
      <c r="B616" s="1" t="s">
        <v>709</v>
      </c>
      <c r="C616" s="1" t="n">
        <v>27</v>
      </c>
      <c r="E616" s="11" t="s">
        <v>79</v>
      </c>
      <c r="F616" s="11" t="str">
        <f aca="false">IFERROR(__xludf.dummyfunction("GOOGLETRANSLATE(B616,""en"",""ar"")"),"المستعمل")</f>
        <v>المستعمل</v>
      </c>
      <c r="G616" s="3" t="n">
        <v>0</v>
      </c>
      <c r="H616" s="3" t="n">
        <v>0</v>
      </c>
    </row>
    <row r="617" customFormat="false" ht="14.25" hidden="false" customHeight="true" outlineLevel="0" collapsed="false">
      <c r="A617" s="1"/>
      <c r="B617" s="1" t="s">
        <v>710</v>
      </c>
      <c r="C617" s="1" t="n">
        <v>27</v>
      </c>
      <c r="E617" s="11" t="s">
        <v>119</v>
      </c>
      <c r="F617" s="11" t="str">
        <f aca="false">IFERROR(__xludf.dummyfunction("GOOGLETRANSLATE(B617,""en"",""ar"")"),"حرب")</f>
        <v>حرب</v>
      </c>
      <c r="G617" s="3" t="n">
        <v>0</v>
      </c>
      <c r="H617" s="3" t="n">
        <v>0</v>
      </c>
    </row>
    <row r="618" customFormat="false" ht="14.25" hidden="false" customHeight="true" outlineLevel="0" collapsed="false">
      <c r="A618" s="1"/>
      <c r="B618" s="1" t="s">
        <v>711</v>
      </c>
      <c r="C618" s="1" t="n">
        <v>26</v>
      </c>
      <c r="E618" s="11" t="s">
        <v>112</v>
      </c>
      <c r="F618" s="11" t="str">
        <f aca="false">IFERROR(__xludf.dummyfunction("GOOGLETRANSLATE(B618,""en"",""ar"")"),"فعلي")</f>
        <v>فعلي</v>
      </c>
      <c r="G618" s="3" t="n">
        <v>0</v>
      </c>
      <c r="H618" s="3" t="n">
        <v>0</v>
      </c>
    </row>
    <row r="619" customFormat="false" ht="14.25" hidden="false" customHeight="true" outlineLevel="0" collapsed="false">
      <c r="A619" s="1"/>
      <c r="B619" s="1" t="s">
        <v>712</v>
      </c>
      <c r="C619" s="1" t="n">
        <v>26</v>
      </c>
      <c r="E619" s="11" t="s">
        <v>644</v>
      </c>
      <c r="F619" s="11" t="str">
        <f aca="false">IFERROR(__xludf.dummyfunction("GOOGLETRANSLATE(B619,""en"",""ar"")"),"ملائم")</f>
        <v>ملائم</v>
      </c>
      <c r="G619" s="3" t="n">
        <v>0</v>
      </c>
      <c r="H619" s="3" t="n">
        <v>0</v>
      </c>
    </row>
    <row r="620" customFormat="false" ht="14.25" hidden="false" customHeight="true" outlineLevel="0" collapsed="false">
      <c r="A620" s="1"/>
      <c r="B620" s="1" t="s">
        <v>713</v>
      </c>
      <c r="C620" s="1" t="n">
        <v>26</v>
      </c>
      <c r="E620" s="11" t="s">
        <v>119</v>
      </c>
      <c r="F620" s="11" t="str">
        <f aca="false">IFERROR(__xludf.dummyfunction("GOOGLETRANSLATE(B620,""en"",""ar"")"),"بنك")</f>
        <v>بنك</v>
      </c>
      <c r="G620" s="3" t="n">
        <v>0</v>
      </c>
      <c r="H620" s="3" t="n">
        <v>0</v>
      </c>
    </row>
    <row r="621" customFormat="false" ht="14.25" hidden="false" customHeight="true" outlineLevel="0" collapsed="false">
      <c r="A621" s="1"/>
      <c r="B621" s="1" t="s">
        <v>714</v>
      </c>
      <c r="C621" s="1" t="n">
        <v>26</v>
      </c>
      <c r="E621" s="11" t="s">
        <v>79</v>
      </c>
      <c r="F621" s="11" t="str">
        <f aca="false">IFERROR(__xludf.dummyfunction("GOOGLETRANSLATE(B621,""en"",""ar"")"),"مزيج")</f>
        <v>مزيج</v>
      </c>
      <c r="G621" s="3" t="n">
        <v>0</v>
      </c>
      <c r="H621" s="3" t="n">
        <v>0</v>
      </c>
    </row>
    <row r="622" customFormat="false" ht="14.25" hidden="false" customHeight="true" outlineLevel="0" collapsed="false">
      <c r="A622" s="1"/>
      <c r="B622" s="1" t="s">
        <v>715</v>
      </c>
      <c r="C622" s="1" t="n">
        <v>26</v>
      </c>
      <c r="E622" s="11" t="s">
        <v>405</v>
      </c>
      <c r="F622" s="11" t="str">
        <f aca="false">IFERROR(__xludf.dummyfunction("GOOGLETRANSLATE(B622,""en"",""ar"")"),"مركب")</f>
        <v>مركب</v>
      </c>
      <c r="G622" s="3" t="n">
        <v>0</v>
      </c>
      <c r="H622" s="3" t="n">
        <v>0</v>
      </c>
    </row>
    <row r="623" customFormat="false" ht="14.25" hidden="false" customHeight="true" outlineLevel="0" collapsed="false">
      <c r="A623" s="1"/>
      <c r="B623" s="1" t="s">
        <v>716</v>
      </c>
      <c r="C623" s="1" t="n">
        <v>26</v>
      </c>
      <c r="E623" s="11" t="s">
        <v>509</v>
      </c>
      <c r="F623" s="11" t="str">
        <f aca="false">IFERROR(__xludf.dummyfunction("GOOGLETRANSLATE(B623,""en"",""ar"")"),"المحتوى")</f>
        <v>المحتوى</v>
      </c>
      <c r="G623" s="3" t="n">
        <v>0</v>
      </c>
      <c r="H623" s="3" t="n">
        <v>0</v>
      </c>
    </row>
    <row r="624" customFormat="false" ht="14.25" hidden="false" customHeight="true" outlineLevel="0" collapsed="false">
      <c r="A624" s="1"/>
      <c r="B624" s="1" t="s">
        <v>717</v>
      </c>
      <c r="C624" s="1" t="n">
        <v>26</v>
      </c>
      <c r="E624" s="11" t="s">
        <v>119</v>
      </c>
      <c r="F624" s="11" t="str">
        <f aca="false">IFERROR(__xludf.dummyfunction("GOOGLETRANSLATE(B624,""en"",""ar"")"),"حرفة")</f>
        <v>حرفة</v>
      </c>
      <c r="G624" s="3" t="n">
        <v>0</v>
      </c>
      <c r="H624" s="3" t="n">
        <v>0</v>
      </c>
    </row>
    <row r="625" customFormat="false" ht="14.25" hidden="false" customHeight="true" outlineLevel="0" collapsed="false">
      <c r="A625" s="1"/>
      <c r="B625" s="1" t="s">
        <v>718</v>
      </c>
      <c r="C625" s="1" t="n">
        <v>26</v>
      </c>
      <c r="E625" s="11" t="s">
        <v>77</v>
      </c>
      <c r="F625" s="11" t="str">
        <f aca="false">IFERROR(__xludf.dummyfunction("GOOGLETRANSLATE(B625,""en"",""ar"")"),"بسبب")</f>
        <v>بسبب</v>
      </c>
      <c r="G625" s="3" t="n">
        <v>0</v>
      </c>
      <c r="H625" s="3" t="n">
        <v>0</v>
      </c>
    </row>
    <row r="626" customFormat="false" ht="14.25" hidden="false" customHeight="true" outlineLevel="0" collapsed="false">
      <c r="A626" s="1"/>
      <c r="B626" s="1" t="s">
        <v>719</v>
      </c>
      <c r="C626" s="1" t="n">
        <v>26</v>
      </c>
      <c r="E626" s="11" t="s">
        <v>42</v>
      </c>
      <c r="F626" s="11" t="str">
        <f aca="false">IFERROR(__xludf.dummyfunction("GOOGLETRANSLATE(B626,""en"",""ar"")"),"بسهولة")</f>
        <v>بسهولة</v>
      </c>
      <c r="G626" s="3" t="n">
        <v>0</v>
      </c>
      <c r="H626" s="3" t="n">
        <v>0</v>
      </c>
    </row>
    <row r="627" customFormat="false" ht="14.25" hidden="false" customHeight="true" outlineLevel="0" collapsed="false">
      <c r="A627" s="1"/>
      <c r="B627" s="1" t="s">
        <v>720</v>
      </c>
      <c r="C627" s="1" t="n">
        <v>26</v>
      </c>
      <c r="E627" s="11" t="s">
        <v>235</v>
      </c>
      <c r="F627" s="11" t="str">
        <f aca="false">IFERROR(__xludf.dummyfunction("GOOGLETRANSLATE(B627,""en"",""ar"")"),"فعال")</f>
        <v>فعال</v>
      </c>
      <c r="G627" s="3" t="n">
        <v>0</v>
      </c>
      <c r="H627" s="3" t="n">
        <v>0</v>
      </c>
    </row>
    <row r="628" customFormat="false" ht="14.25" hidden="false" customHeight="true" outlineLevel="0" collapsed="false">
      <c r="A628" s="1"/>
      <c r="B628" s="1" t="s">
        <v>721</v>
      </c>
      <c r="C628" s="1" t="n">
        <v>26</v>
      </c>
      <c r="E628" s="11" t="s">
        <v>42</v>
      </c>
      <c r="F628" s="11" t="str">
        <f aca="false">IFERROR(__xludf.dummyfunction("GOOGLETRANSLATE(B628,""en"",""ar"")"),"في النهاية")</f>
        <v>في النهاية</v>
      </c>
      <c r="G628" s="3" t="n">
        <v>0</v>
      </c>
      <c r="H628" s="3" t="n">
        <v>0</v>
      </c>
    </row>
    <row r="629" customFormat="false" ht="14.25" hidden="false" customHeight="true" outlineLevel="0" collapsed="false">
      <c r="A629" s="1"/>
      <c r="B629" s="1" t="s">
        <v>722</v>
      </c>
      <c r="C629" s="1" t="n">
        <v>26</v>
      </c>
      <c r="E629" s="11" t="s">
        <v>42</v>
      </c>
      <c r="F629" s="11" t="str">
        <f aca="false">IFERROR(__xludf.dummyfunction("GOOGLETRANSLATE(B629,""en"",""ar"")"),"بالضبط")</f>
        <v>بالضبط</v>
      </c>
      <c r="G629" s="3" t="n">
        <v>0</v>
      </c>
      <c r="H629" s="3" t="n">
        <v>0</v>
      </c>
    </row>
    <row r="630" customFormat="false" ht="14.25" hidden="false" customHeight="true" outlineLevel="0" collapsed="false">
      <c r="A630" s="1"/>
      <c r="B630" s="1" t="s">
        <v>723</v>
      </c>
      <c r="C630" s="1" t="n">
        <v>26</v>
      </c>
      <c r="E630" s="11" t="s">
        <v>79</v>
      </c>
      <c r="F630" s="11" t="str">
        <f aca="false">IFERROR(__xludf.dummyfunction("GOOGLETRANSLATE(B630,""en"",""ar"")"),"بالفشل")</f>
        <v>بالفشل</v>
      </c>
      <c r="G630" s="3" t="n">
        <v>0</v>
      </c>
      <c r="H630" s="3" t="n">
        <v>0</v>
      </c>
    </row>
    <row r="631" customFormat="false" ht="14.25" hidden="false" customHeight="true" outlineLevel="0" collapsed="false">
      <c r="A631" s="1"/>
      <c r="B631" s="1" t="s">
        <v>724</v>
      </c>
      <c r="C631" s="1" t="n">
        <v>26</v>
      </c>
      <c r="E631" s="11" t="s">
        <v>725</v>
      </c>
      <c r="F631" s="11" t="str">
        <f aca="false">IFERROR(__xludf.dummyfunction("GOOGLETRANSLATE(B631,""en"",""ar"")"),"نصف")</f>
        <v>نصف</v>
      </c>
      <c r="G631" s="3" t="n">
        <v>0</v>
      </c>
      <c r="H631" s="3" t="n">
        <v>0</v>
      </c>
    </row>
    <row r="632" customFormat="false" ht="14.25" hidden="false" customHeight="true" outlineLevel="0" collapsed="false">
      <c r="A632" s="1"/>
      <c r="B632" s="1" t="s">
        <v>726</v>
      </c>
      <c r="C632" s="1" t="n">
        <v>26</v>
      </c>
      <c r="E632" s="11" t="s">
        <v>727</v>
      </c>
      <c r="F632" s="11" t="str">
        <f aca="false">IFERROR(__xludf.dummyfunction("GOOGLETRANSLATE(B632,""en"",""ar"")"),"داخل")</f>
        <v>داخل</v>
      </c>
      <c r="G632" s="3" t="n">
        <v>0</v>
      </c>
      <c r="H632" s="3" t="n">
        <v>0</v>
      </c>
    </row>
    <row r="633" customFormat="false" ht="14.25" hidden="false" customHeight="true" outlineLevel="0" collapsed="false">
      <c r="A633" s="1"/>
      <c r="B633" s="1" t="s">
        <v>728</v>
      </c>
      <c r="C633" s="1" t="n">
        <v>26</v>
      </c>
      <c r="E633" s="11" t="s">
        <v>79</v>
      </c>
      <c r="F633" s="11" t="str">
        <f aca="false">IFERROR(__xludf.dummyfunction("GOOGLETRANSLATE(B633,""en"",""ar"")"),"المعنى")</f>
        <v>المعنى</v>
      </c>
      <c r="G633" s="3" t="n">
        <v>0</v>
      </c>
      <c r="H633" s="3" t="n">
        <v>0</v>
      </c>
    </row>
    <row r="634" customFormat="false" ht="14.25" hidden="false" customHeight="true" outlineLevel="0" collapsed="false">
      <c r="A634" s="1"/>
      <c r="B634" s="1" t="s">
        <v>729</v>
      </c>
      <c r="C634" s="1" t="n">
        <v>26</v>
      </c>
      <c r="E634" s="11" t="s">
        <v>79</v>
      </c>
      <c r="F634" s="11" t="str">
        <f aca="false">IFERROR(__xludf.dummyfunction("GOOGLETRANSLATE(B634,""en"",""ar"")"),"دواء")</f>
        <v>دواء</v>
      </c>
      <c r="G634" s="3" t="n">
        <v>0</v>
      </c>
      <c r="H634" s="3" t="n">
        <v>0</v>
      </c>
    </row>
    <row r="635" customFormat="false" ht="14.25" hidden="false" customHeight="true" outlineLevel="0" collapsed="false">
      <c r="A635" s="1"/>
      <c r="B635" s="1" t="s">
        <v>730</v>
      </c>
      <c r="C635" s="1" t="n">
        <v>26</v>
      </c>
      <c r="E635" s="11" t="s">
        <v>235</v>
      </c>
      <c r="F635" s="11" t="str">
        <f aca="false">IFERROR(__xludf.dummyfunction("GOOGLETRANSLATE(B635,""en"",""ar"")"),"وسط")</f>
        <v>وسط</v>
      </c>
      <c r="G635" s="3" t="n">
        <v>0</v>
      </c>
      <c r="H635" s="3" t="n">
        <v>0</v>
      </c>
    </row>
    <row r="636" customFormat="false" ht="14.25" hidden="false" customHeight="true" outlineLevel="0" collapsed="false">
      <c r="A636" s="1"/>
      <c r="B636" s="1" t="s">
        <v>731</v>
      </c>
      <c r="C636" s="1" t="n">
        <v>26</v>
      </c>
      <c r="E636" s="11" t="s">
        <v>727</v>
      </c>
      <c r="F636" s="11" t="str">
        <f aca="false">IFERROR(__xludf.dummyfunction("GOOGLETRANSLATE(B636,""en"",""ar"")"),"في الخارج")</f>
        <v>في الخارج</v>
      </c>
      <c r="G636" s="3" t="n">
        <v>0</v>
      </c>
      <c r="H636" s="3" t="n">
        <v>0</v>
      </c>
    </row>
    <row r="637" customFormat="false" ht="14.25" hidden="false" customHeight="true" outlineLevel="0" collapsed="false">
      <c r="A637" s="1"/>
      <c r="B637" s="1" t="s">
        <v>732</v>
      </c>
      <c r="C637" s="1" t="n">
        <v>26</v>
      </c>
      <c r="E637" s="11" t="s">
        <v>79</v>
      </c>
      <c r="F637" s="11" t="str">
        <f aca="false">IFERROR(__xludf.dummyfunction("GOOGLETRANSLATE(B637,""en"",""ar"")"),"فلسفة")</f>
        <v>فلسفة</v>
      </c>
      <c r="G637" s="3" t="n">
        <v>0</v>
      </c>
      <c r="H637" s="3" t="n">
        <v>0</v>
      </c>
    </row>
    <row r="638" customFormat="false" ht="14.25" hidden="false" customHeight="true" outlineLevel="0" collapsed="false">
      <c r="A638" s="1"/>
      <c r="B638" s="1" t="s">
        <v>733</v>
      </c>
      <c r="C638" s="1" t="n">
        <v>26</v>
      </c>
      <c r="E638" s="11" t="s">
        <v>235</v>
      </c>
      <c r="F638" s="11" t="str">
        <f aca="false">IFERROR(__xludf.dummyfunction("GOOGLETRANSLATE(B638,""en"",""ar"")"),"عادي")</f>
        <v>عادي</v>
      </c>
      <c r="G638" s="3" t="n">
        <v>0</v>
      </c>
      <c r="H638" s="3" t="n">
        <v>0</v>
      </c>
    </row>
    <row r="639" customFormat="false" ht="14.25" hidden="false" customHeight="true" outlineLevel="0" collapsed="false">
      <c r="A639" s="1"/>
      <c r="B639" s="1" t="s">
        <v>734</v>
      </c>
      <c r="C639" s="1" t="n">
        <v>26</v>
      </c>
      <c r="E639" s="11" t="s">
        <v>94</v>
      </c>
      <c r="F639" s="11" t="str">
        <f aca="false">IFERROR(__xludf.dummyfunction("GOOGLETRANSLATE(B639,""en"",""ar"")"),"الاحتياطي")</f>
        <v>الاحتياطي</v>
      </c>
      <c r="G639" s="3" t="n">
        <v>0</v>
      </c>
      <c r="H639" s="3" t="n">
        <v>0</v>
      </c>
    </row>
    <row r="640" customFormat="false" ht="14.25" hidden="false" customHeight="true" outlineLevel="0" collapsed="false">
      <c r="A640" s="1"/>
      <c r="B640" s="1" t="s">
        <v>735</v>
      </c>
      <c r="C640" s="1" t="n">
        <v>26</v>
      </c>
      <c r="E640" s="11" t="s">
        <v>148</v>
      </c>
      <c r="F640" s="11" t="str">
        <f aca="false">IFERROR(__xludf.dummyfunction("GOOGLETRANSLATE(B640,""en"",""ar"")"),"اساسي")</f>
        <v>اساسي</v>
      </c>
      <c r="G640" s="3" t="n">
        <v>0</v>
      </c>
      <c r="H640" s="3" t="n">
        <v>0</v>
      </c>
    </row>
    <row r="641" customFormat="false" ht="14.25" hidden="false" customHeight="true" outlineLevel="0" collapsed="false">
      <c r="A641" s="1"/>
      <c r="B641" s="1" t="s">
        <v>736</v>
      </c>
      <c r="C641" s="1" t="n">
        <v>25</v>
      </c>
      <c r="E641" s="11" t="s">
        <v>119</v>
      </c>
      <c r="F641" s="11" t="str">
        <f aca="false">IFERROR(__xludf.dummyfunction("GOOGLETRANSLATE(B641,""en"",""ar"")"),"أوتوبيس")</f>
        <v>أوتوبيس</v>
      </c>
      <c r="G641" s="3" t="n">
        <v>0</v>
      </c>
      <c r="H641" s="3" t="n">
        <v>0</v>
      </c>
    </row>
    <row r="642" customFormat="false" ht="14.25" hidden="false" customHeight="true" outlineLevel="0" collapsed="false">
      <c r="A642" s="1"/>
      <c r="B642" s="1" t="s">
        <v>737</v>
      </c>
      <c r="C642" s="1" t="n">
        <v>25</v>
      </c>
      <c r="E642" s="11" t="s">
        <v>12</v>
      </c>
      <c r="F642" s="11" t="str">
        <f aca="false">IFERROR(__xludf.dummyfunction("GOOGLETRANSLATE(B642,""en"",""ar"")"),"يقرر")</f>
        <v>يقرر</v>
      </c>
      <c r="G642" s="3" t="n">
        <v>0</v>
      </c>
      <c r="H642" s="3" t="n">
        <v>0</v>
      </c>
    </row>
    <row r="643" customFormat="false" ht="14.25" hidden="false" customHeight="true" outlineLevel="0" collapsed="false">
      <c r="A643" s="1"/>
      <c r="B643" s="1" t="s">
        <v>738</v>
      </c>
      <c r="C643" s="1" t="n">
        <v>25</v>
      </c>
      <c r="E643" s="11" t="s">
        <v>119</v>
      </c>
      <c r="F643" s="11" t="str">
        <f aca="false">IFERROR(__xludf.dummyfunction("GOOGLETRANSLATE(B643,""en"",""ar"")"),"تبادل")</f>
        <v>تبادل</v>
      </c>
      <c r="G643" s="3" t="n">
        <v>0</v>
      </c>
      <c r="H643" s="3" t="n">
        <v>0</v>
      </c>
    </row>
    <row r="644" customFormat="false" ht="14.25" hidden="false" customHeight="true" outlineLevel="0" collapsed="false">
      <c r="A644" s="1"/>
      <c r="B644" s="1" t="s">
        <v>739</v>
      </c>
      <c r="C644" s="1" t="n">
        <v>25</v>
      </c>
      <c r="E644" s="11" t="s">
        <v>119</v>
      </c>
      <c r="F644" s="11" t="str">
        <f aca="false">IFERROR(__xludf.dummyfunction("GOOGLETRANSLATE(B644,""en"",""ar"")"),"عين")</f>
        <v>عين</v>
      </c>
      <c r="G644" s="3" t="n">
        <v>0</v>
      </c>
      <c r="H644" s="3" t="n">
        <v>0</v>
      </c>
    </row>
    <row r="645" customFormat="false" ht="14.25" hidden="false" customHeight="true" outlineLevel="0" collapsed="false">
      <c r="A645" s="1"/>
      <c r="B645" s="1" t="s">
        <v>740</v>
      </c>
      <c r="C645" s="1" t="n">
        <v>25</v>
      </c>
      <c r="E645" s="11" t="s">
        <v>199</v>
      </c>
      <c r="F645" s="11" t="str">
        <f aca="false">IFERROR(__xludf.dummyfunction("GOOGLETRANSLATE(B645,""en"",""ar"")"),"سريع")</f>
        <v>سريع</v>
      </c>
      <c r="G645" s="3" t="n">
        <v>0</v>
      </c>
      <c r="H645" s="3" t="n">
        <v>0</v>
      </c>
    </row>
    <row r="646" customFormat="false" ht="14.25" hidden="false" customHeight="true" outlineLevel="0" collapsed="false">
      <c r="A646" s="1"/>
      <c r="B646" s="1" t="s">
        <v>741</v>
      </c>
      <c r="C646" s="1" t="n">
        <v>25</v>
      </c>
      <c r="E646" s="11" t="s">
        <v>119</v>
      </c>
      <c r="F646" s="11" t="str">
        <f aca="false">IFERROR(__xludf.dummyfunction("GOOGLETRANSLATE(B646,""en"",""ar"")"),"إطلاق النار")</f>
        <v>إطلاق النار</v>
      </c>
      <c r="G646" s="3" t="n">
        <v>0</v>
      </c>
      <c r="H646" s="3" t="n">
        <v>0</v>
      </c>
    </row>
    <row r="647" customFormat="false" ht="14.25" hidden="false" customHeight="true" outlineLevel="0" collapsed="false">
      <c r="A647" s="1"/>
      <c r="B647" s="1" t="s">
        <v>742</v>
      </c>
      <c r="C647" s="1" t="n">
        <v>25</v>
      </c>
      <c r="E647" s="11" t="s">
        <v>12</v>
      </c>
      <c r="F647" s="11" t="str">
        <f aca="false">IFERROR(__xludf.dummyfunction("GOOGLETRANSLATE(B647,""en"",""ar"")"),"تحديد")</f>
        <v>تحديد</v>
      </c>
      <c r="G647" s="3" t="n">
        <v>0</v>
      </c>
      <c r="H647" s="3" t="n">
        <v>0</v>
      </c>
    </row>
    <row r="648" customFormat="false" ht="14.25" hidden="false" customHeight="true" outlineLevel="0" collapsed="false">
      <c r="A648" s="1"/>
      <c r="B648" s="1" t="s">
        <v>743</v>
      </c>
      <c r="C648" s="1" t="n">
        <v>25</v>
      </c>
      <c r="E648" s="11" t="s">
        <v>235</v>
      </c>
      <c r="F648" s="11" t="str">
        <f aca="false">IFERROR(__xludf.dummyfunction("GOOGLETRANSLATE(B648,""en"",""ar"")"),"مستقل")</f>
        <v>مستقل</v>
      </c>
      <c r="G648" s="3" t="n">
        <v>0</v>
      </c>
      <c r="H648" s="3" t="n">
        <v>0</v>
      </c>
    </row>
    <row r="649" customFormat="false" ht="14.25" hidden="false" customHeight="true" outlineLevel="0" collapsed="false">
      <c r="A649" s="1"/>
      <c r="B649" s="1" t="s">
        <v>744</v>
      </c>
      <c r="C649" s="1" t="n">
        <v>25</v>
      </c>
      <c r="E649" s="11" t="s">
        <v>94</v>
      </c>
      <c r="F649" s="11" t="str">
        <f aca="false">IFERROR(__xludf.dummyfunction("GOOGLETRANSLATE(B649,""en"",""ar"")"),"غادر")</f>
        <v>غادر</v>
      </c>
      <c r="G649" s="3" t="n">
        <v>0</v>
      </c>
      <c r="H649" s="3" t="n">
        <v>0</v>
      </c>
    </row>
    <row r="650" customFormat="false" ht="14.25" hidden="false" customHeight="true" outlineLevel="0" collapsed="false">
      <c r="A650" s="1"/>
      <c r="B650" s="1" t="s">
        <v>745</v>
      </c>
      <c r="C650" s="1" t="n">
        <v>25</v>
      </c>
      <c r="E650" s="11" t="s">
        <v>235</v>
      </c>
      <c r="F650" s="11" t="str">
        <f aca="false">IFERROR(__xludf.dummyfunction("GOOGLETRANSLATE(B650,""en"",""ar"")"),"أصلي")</f>
        <v>أصلي</v>
      </c>
      <c r="G650" s="3" t="n">
        <v>0</v>
      </c>
      <c r="H650" s="3" t="n">
        <v>0</v>
      </c>
    </row>
    <row r="651" customFormat="false" ht="14.25" hidden="false" customHeight="true" outlineLevel="0" collapsed="false">
      <c r="A651" s="1"/>
      <c r="B651" s="1" t="s">
        <v>746</v>
      </c>
      <c r="C651" s="1" t="n">
        <v>25</v>
      </c>
      <c r="E651" s="11" t="s">
        <v>119</v>
      </c>
      <c r="F651" s="11" t="str">
        <f aca="false">IFERROR(__xludf.dummyfunction("GOOGLETRANSLATE(B651,""en"",""ar"")"),"وضع")</f>
        <v>وضع</v>
      </c>
      <c r="G651" s="3" t="n">
        <v>0</v>
      </c>
      <c r="H651" s="3" t="n">
        <v>0</v>
      </c>
    </row>
    <row r="652" customFormat="false" ht="14.25" hidden="false" customHeight="true" outlineLevel="0" collapsed="false">
      <c r="A652" s="1"/>
      <c r="B652" s="1" t="s">
        <v>747</v>
      </c>
      <c r="C652" s="1" t="n">
        <v>25</v>
      </c>
      <c r="E652" s="11" t="s">
        <v>119</v>
      </c>
      <c r="F652" s="11" t="str">
        <f aca="false">IFERROR(__xludf.dummyfunction("GOOGLETRANSLATE(B652,""en"",""ar"")"),"الضغط")</f>
        <v>الضغط</v>
      </c>
      <c r="G652" s="3" t="n">
        <v>0</v>
      </c>
      <c r="H652" s="3" t="n">
        <v>0</v>
      </c>
    </row>
    <row r="653" customFormat="false" ht="14.25" hidden="false" customHeight="true" outlineLevel="0" collapsed="false">
      <c r="A653" s="1"/>
      <c r="B653" s="1" t="s">
        <v>748</v>
      </c>
      <c r="C653" s="1" t="n">
        <v>25</v>
      </c>
      <c r="E653" s="11" t="s">
        <v>94</v>
      </c>
      <c r="F653" s="11" t="str">
        <f aca="false">IFERROR(__xludf.dummyfunction("GOOGLETRANSLATE(B653,""en"",""ar"")"),"يصل")</f>
        <v>يصل</v>
      </c>
      <c r="G653" s="3" t="n">
        <v>0</v>
      </c>
      <c r="H653" s="3" t="n">
        <v>0</v>
      </c>
    </row>
    <row r="654" customFormat="false" ht="14.25" hidden="false" customHeight="true" outlineLevel="0" collapsed="false">
      <c r="A654" s="1"/>
      <c r="B654" s="1" t="s">
        <v>749</v>
      </c>
      <c r="C654" s="1" t="n">
        <v>25</v>
      </c>
      <c r="E654" s="11" t="s">
        <v>94</v>
      </c>
      <c r="F654" s="11" t="str">
        <f aca="false">IFERROR(__xludf.dummyfunction("GOOGLETRANSLATE(B654,""en"",""ar"")"),"راحة")</f>
        <v>راحة</v>
      </c>
      <c r="G654" s="3" t="n">
        <v>0</v>
      </c>
      <c r="H654" s="3" t="n">
        <v>0</v>
      </c>
    </row>
    <row r="655" customFormat="false" ht="14.25" hidden="false" customHeight="true" outlineLevel="0" collapsed="false">
      <c r="A655" s="1"/>
      <c r="B655" s="1" t="s">
        <v>750</v>
      </c>
      <c r="C655" s="1" t="n">
        <v>25</v>
      </c>
      <c r="E655" s="11" t="s">
        <v>94</v>
      </c>
      <c r="F655" s="11" t="str">
        <f aca="false">IFERROR(__xludf.dummyfunction("GOOGLETRANSLATE(B655,""en"",""ar"")"),"يخدم")</f>
        <v>يخدم</v>
      </c>
      <c r="G655" s="3" t="n">
        <v>0</v>
      </c>
      <c r="H655" s="3" t="n">
        <v>0</v>
      </c>
    </row>
    <row r="656" customFormat="false" ht="14.25" hidden="false" customHeight="true" outlineLevel="0" collapsed="false">
      <c r="A656" s="1"/>
      <c r="B656" s="1" t="s">
        <v>751</v>
      </c>
      <c r="C656" s="1" t="n">
        <v>25</v>
      </c>
      <c r="E656" s="11" t="s">
        <v>119</v>
      </c>
      <c r="F656" s="11" t="str">
        <f aca="false">IFERROR(__xludf.dummyfunction("GOOGLETRANSLATE(B656,""en"",""ar"")"),"ضغط عصبى")</f>
        <v>ضغط عصبى</v>
      </c>
      <c r="G656" s="3" t="n">
        <v>0</v>
      </c>
      <c r="H656" s="3" t="n">
        <v>0</v>
      </c>
    </row>
    <row r="657" customFormat="false" ht="14.25" hidden="false" customHeight="true" outlineLevel="0" collapsed="false">
      <c r="A657" s="1"/>
      <c r="B657" s="1" t="s">
        <v>752</v>
      </c>
      <c r="C657" s="1" t="n">
        <v>25</v>
      </c>
      <c r="E657" s="11" t="s">
        <v>79</v>
      </c>
      <c r="F657" s="11" t="str">
        <f aca="false">IFERROR(__xludf.dummyfunction("GOOGLETRANSLATE(B657,""en"",""ar"")"),"مدرس")</f>
        <v>مدرس</v>
      </c>
      <c r="G657" s="3" t="n">
        <v>0</v>
      </c>
      <c r="H657" s="3" t="n">
        <v>0</v>
      </c>
    </row>
    <row r="658" customFormat="false" ht="14.25" hidden="false" customHeight="true" outlineLevel="0" collapsed="false">
      <c r="A658" s="1"/>
      <c r="B658" s="1" t="s">
        <v>753</v>
      </c>
      <c r="C658" s="1" t="n">
        <v>25</v>
      </c>
      <c r="E658" s="11" t="s">
        <v>94</v>
      </c>
      <c r="F658" s="11" t="str">
        <f aca="false">IFERROR(__xludf.dummyfunction("GOOGLETRANSLATE(B658,""en"",""ar"")"),"يشاهد")</f>
        <v>يشاهد</v>
      </c>
      <c r="G658" s="3" t="n">
        <v>0</v>
      </c>
      <c r="H658" s="3" t="n">
        <v>0</v>
      </c>
    </row>
    <row r="659" customFormat="false" ht="14.25" hidden="false" customHeight="true" outlineLevel="0" collapsed="false">
      <c r="A659" s="1"/>
      <c r="B659" s="1" t="s">
        <v>754</v>
      </c>
      <c r="C659" s="1" t="n">
        <v>25</v>
      </c>
      <c r="E659" s="11" t="s">
        <v>50</v>
      </c>
      <c r="F659" s="11" t="str">
        <f aca="false">IFERROR(__xludf.dummyfunction("GOOGLETRANSLATE(B659,""en"",""ar"")"),"واسع")</f>
        <v>واسع</v>
      </c>
      <c r="G659" s="3" t="n">
        <v>0</v>
      </c>
      <c r="H659" s="3" t="n">
        <v>0</v>
      </c>
    </row>
    <row r="660" customFormat="false" ht="14.25" hidden="false" customHeight="true" outlineLevel="0" collapsed="false">
      <c r="A660" s="1"/>
      <c r="B660" s="1" t="s">
        <v>755</v>
      </c>
      <c r="C660" s="1" t="n">
        <v>24</v>
      </c>
      <c r="E660" s="11" t="s">
        <v>119</v>
      </c>
      <c r="F660" s="11" t="str">
        <f aca="false">IFERROR(__xludf.dummyfunction("GOOGLETRANSLATE(B660,""en"",""ar"")"),"أفضلية")</f>
        <v>أفضلية</v>
      </c>
      <c r="G660" s="3" t="n">
        <v>0</v>
      </c>
      <c r="H660" s="3" t="n">
        <v>0</v>
      </c>
    </row>
    <row r="661" customFormat="false" ht="14.25" hidden="false" customHeight="true" outlineLevel="0" collapsed="false">
      <c r="A661" s="1"/>
      <c r="B661" s="1" t="s">
        <v>756</v>
      </c>
      <c r="C661" s="1" t="n">
        <v>24</v>
      </c>
      <c r="E661" s="11" t="s">
        <v>757</v>
      </c>
      <c r="F661" s="11" t="str">
        <f aca="false">IFERROR(__xludf.dummyfunction("GOOGLETRANSLATE(B661,""en"",""ar"")"),"جميلة")</f>
        <v>جميلة</v>
      </c>
      <c r="G661" s="3" t="n">
        <v>0</v>
      </c>
      <c r="H661" s="3" t="n">
        <v>0</v>
      </c>
    </row>
    <row r="662" customFormat="false" ht="14.25" hidden="false" customHeight="true" outlineLevel="0" collapsed="false">
      <c r="A662" s="1"/>
      <c r="B662" s="1" t="s">
        <v>758</v>
      </c>
      <c r="C662" s="1" t="n">
        <v>24</v>
      </c>
      <c r="E662" s="11" t="s">
        <v>119</v>
      </c>
      <c r="F662" s="11" t="str">
        <f aca="false">IFERROR(__xludf.dummyfunction("GOOGLETRANSLATE(B662,""en"",""ar"")"),"المنفعة")</f>
        <v>المنفعة</v>
      </c>
      <c r="G662" s="3" t="n">
        <v>0</v>
      </c>
      <c r="H662" s="3" t="n">
        <v>0</v>
      </c>
    </row>
    <row r="663" customFormat="false" ht="14.25" hidden="false" customHeight="true" outlineLevel="0" collapsed="false">
      <c r="A663" s="1"/>
      <c r="B663" s="1" t="s">
        <v>759</v>
      </c>
      <c r="C663" s="1" t="n">
        <v>24</v>
      </c>
      <c r="E663" s="11" t="s">
        <v>119</v>
      </c>
      <c r="F663" s="11" t="str">
        <f aca="false">IFERROR(__xludf.dummyfunction("GOOGLETRANSLATE(B663,""en"",""ar"")"),"صندوق")</f>
        <v>صندوق</v>
      </c>
      <c r="G663" s="3" t="n">
        <v>0</v>
      </c>
      <c r="H663" s="3" t="n">
        <v>0</v>
      </c>
    </row>
    <row r="664" customFormat="false" ht="14.25" hidden="false" customHeight="true" outlineLevel="0" collapsed="false">
      <c r="A664" s="1"/>
      <c r="B664" s="1" t="s">
        <v>760</v>
      </c>
      <c r="C664" s="1" t="n">
        <v>24</v>
      </c>
      <c r="E664" s="11" t="s">
        <v>94</v>
      </c>
      <c r="F664" s="11" t="str">
        <f aca="false">IFERROR(__xludf.dummyfunction("GOOGLETRANSLATE(B664,""en"",""ar"")"),"الشحنة")</f>
        <v>الشحنة</v>
      </c>
      <c r="G664" s="3" t="n">
        <v>0</v>
      </c>
      <c r="H664" s="3" t="n">
        <v>0</v>
      </c>
    </row>
    <row r="665" customFormat="false" ht="14.25" hidden="false" customHeight="true" outlineLevel="0" collapsed="false">
      <c r="A665" s="1"/>
      <c r="B665" s="1" t="s">
        <v>761</v>
      </c>
      <c r="C665" s="1" t="n">
        <v>24</v>
      </c>
      <c r="E665" s="11" t="s">
        <v>79</v>
      </c>
      <c r="F665" s="11" t="str">
        <f aca="false">IFERROR(__xludf.dummyfunction("GOOGLETRANSLATE(B665,""en"",""ar"")"),"الاتصالات")</f>
        <v>الاتصالات</v>
      </c>
      <c r="G665" s="3" t="n">
        <v>0</v>
      </c>
      <c r="H665" s="3" t="n">
        <v>0</v>
      </c>
    </row>
    <row r="666" customFormat="false" ht="14.25" hidden="false" customHeight="true" outlineLevel="0" collapsed="false">
      <c r="A666" s="1"/>
      <c r="B666" s="1" t="s">
        <v>762</v>
      </c>
      <c r="C666" s="1" t="n">
        <v>24</v>
      </c>
      <c r="E666" s="11" t="s">
        <v>179</v>
      </c>
      <c r="F666" s="11" t="str">
        <f aca="false">IFERROR(__xludf.dummyfunction("GOOGLETRANSLATE(B666,""en"",""ar"")"),"اكتمال")</f>
        <v>اكتمال</v>
      </c>
      <c r="G666" s="3" t="n">
        <v>0</v>
      </c>
      <c r="H666" s="3" t="n">
        <v>0</v>
      </c>
    </row>
    <row r="667" customFormat="false" ht="14.25" hidden="false" customHeight="true" outlineLevel="0" collapsed="false">
      <c r="A667" s="1"/>
      <c r="B667" s="1" t="s">
        <v>763</v>
      </c>
      <c r="C667" s="1" t="n">
        <v>24</v>
      </c>
      <c r="E667" s="11" t="s">
        <v>12</v>
      </c>
      <c r="F667" s="11" t="str">
        <f aca="false">IFERROR(__xludf.dummyfunction("GOOGLETRANSLATE(B667,""en"",""ar"")"),"استمر")</f>
        <v>استمر</v>
      </c>
      <c r="G667" s="3" t="n">
        <v>0</v>
      </c>
      <c r="H667" s="3" t="n">
        <v>0</v>
      </c>
    </row>
    <row r="668" customFormat="false" ht="14.25" hidden="false" customHeight="true" outlineLevel="0" collapsed="false">
      <c r="A668" s="1"/>
      <c r="B668" s="1" t="s">
        <v>764</v>
      </c>
      <c r="C668" s="1" t="n">
        <v>24</v>
      </c>
      <c r="E668" s="11" t="s">
        <v>119</v>
      </c>
      <c r="F668" s="11" t="str">
        <f aca="false">IFERROR(__xludf.dummyfunction("GOOGLETRANSLATE(B668,""en"",""ar"")"),"الإطار")</f>
        <v>الإطار</v>
      </c>
      <c r="G668" s="3" t="n">
        <v>0</v>
      </c>
      <c r="H668" s="3" t="n">
        <v>0</v>
      </c>
    </row>
    <row r="669" customFormat="false" ht="14.25" hidden="false" customHeight="true" outlineLevel="0" collapsed="false">
      <c r="A669" s="1"/>
      <c r="B669" s="1" t="s">
        <v>765</v>
      </c>
      <c r="C669" s="1" t="n">
        <v>24</v>
      </c>
      <c r="E669" s="11" t="s">
        <v>119</v>
      </c>
      <c r="F669" s="11" t="str">
        <f aca="false">IFERROR(__xludf.dummyfunction("GOOGLETRANSLATE(B669,""en"",""ar"")"),"قضية")</f>
        <v>قضية</v>
      </c>
      <c r="G669" s="3" t="n">
        <v>0</v>
      </c>
      <c r="H669" s="3" t="n">
        <v>0</v>
      </c>
    </row>
    <row r="670" customFormat="false" ht="14.25" hidden="false" customHeight="true" outlineLevel="0" collapsed="false">
      <c r="A670" s="1"/>
      <c r="B670" s="1" t="s">
        <v>766</v>
      </c>
      <c r="C670" s="1" t="n">
        <v>24</v>
      </c>
      <c r="E670" s="11" t="s">
        <v>87</v>
      </c>
      <c r="F670" s="11" t="str">
        <f aca="false">IFERROR(__xludf.dummyfunction("GOOGLETRANSLATE(B670,""en"",""ar"")"),"محدود")</f>
        <v>محدود</v>
      </c>
      <c r="G670" s="3" t="n">
        <v>0</v>
      </c>
      <c r="H670" s="3" t="n">
        <v>0</v>
      </c>
    </row>
    <row r="671" customFormat="false" ht="14.25" hidden="false" customHeight="true" outlineLevel="0" collapsed="false">
      <c r="A671" s="1"/>
      <c r="B671" s="1" t="s">
        <v>767</v>
      </c>
      <c r="C671" s="1" t="n">
        <v>24</v>
      </c>
      <c r="E671" s="11" t="s">
        <v>79</v>
      </c>
      <c r="F671" s="11" t="str">
        <f aca="false">IFERROR(__xludf.dummyfunction("GOOGLETRANSLATE(B671,""en"",""ar"")"),"ليلة")</f>
        <v>ليلة</v>
      </c>
      <c r="G671" s="3" t="n">
        <v>0</v>
      </c>
      <c r="H671" s="3" t="n">
        <v>0</v>
      </c>
    </row>
    <row r="672" customFormat="false" ht="14.25" hidden="false" customHeight="true" outlineLevel="0" collapsed="false">
      <c r="A672" s="1"/>
      <c r="B672" s="1" t="s">
        <v>768</v>
      </c>
      <c r="C672" s="1" t="n">
        <v>24</v>
      </c>
      <c r="E672" s="11" t="s">
        <v>12</v>
      </c>
      <c r="F672" s="11" t="str">
        <f aca="false">IFERROR(__xludf.dummyfunction("GOOGLETRANSLATE(B672,""en"",""ar"")"),"يحمي")</f>
        <v>يحمي</v>
      </c>
      <c r="G672" s="3" t="n">
        <v>0</v>
      </c>
      <c r="H672" s="3" t="n">
        <v>0</v>
      </c>
    </row>
    <row r="673" customFormat="false" ht="14.25" hidden="false" customHeight="true" outlineLevel="0" collapsed="false">
      <c r="A673" s="1"/>
      <c r="B673" s="1" t="s">
        <v>769</v>
      </c>
      <c r="C673" s="1" t="n">
        <v>24</v>
      </c>
      <c r="E673" s="11" t="s">
        <v>12</v>
      </c>
      <c r="F673" s="11" t="str">
        <f aca="false">IFERROR(__xludf.dummyfunction("GOOGLETRANSLATE(B673,""en"",""ar"")"),"تطلب")</f>
        <v>تطلب</v>
      </c>
      <c r="G673" s="3" t="n">
        <v>0</v>
      </c>
      <c r="H673" s="3" t="n">
        <v>0</v>
      </c>
    </row>
    <row r="674" customFormat="false" ht="14.25" hidden="false" customHeight="true" outlineLevel="0" collapsed="false">
      <c r="A674" s="1"/>
      <c r="B674" s="1" t="s">
        <v>770</v>
      </c>
      <c r="C674" s="1" t="n">
        <v>24</v>
      </c>
      <c r="E674" s="11" t="s">
        <v>112</v>
      </c>
      <c r="F674" s="11" t="str">
        <f aca="false">IFERROR(__xludf.dummyfunction("GOOGLETRANSLATE(B674,""en"",""ar"")"),"بارز")</f>
        <v>بارز</v>
      </c>
      <c r="G674" s="3" t="n">
        <v>0</v>
      </c>
      <c r="H674" s="3" t="n">
        <v>0</v>
      </c>
    </row>
    <row r="675" customFormat="false" ht="14.25" hidden="false" customHeight="true" outlineLevel="0" collapsed="false">
      <c r="A675" s="1"/>
      <c r="B675" s="1" t="s">
        <v>771</v>
      </c>
      <c r="C675" s="1" t="n">
        <v>24</v>
      </c>
      <c r="E675" s="11" t="s">
        <v>119</v>
      </c>
      <c r="F675" s="11" t="str">
        <f aca="false">IFERROR(__xludf.dummyfunction("GOOGLETRANSLATE(B675,""en"",""ar"")"),"خطوة")</f>
        <v>خطوة</v>
      </c>
      <c r="G675" s="3" t="n">
        <v>0</v>
      </c>
      <c r="H675" s="3" t="n">
        <v>0</v>
      </c>
    </row>
    <row r="676" customFormat="false" ht="14.25" hidden="false" customHeight="true" outlineLevel="0" collapsed="false">
      <c r="A676" s="1"/>
      <c r="B676" s="1" t="s">
        <v>772</v>
      </c>
      <c r="C676" s="1" t="n">
        <v>24</v>
      </c>
      <c r="E676" s="11" t="s">
        <v>112</v>
      </c>
      <c r="F676" s="11" t="str">
        <f aca="false">IFERROR(__xludf.dummyfunction("GOOGLETRANSLATE(B676,""en"",""ar"")"),"ناجح")</f>
        <v>ناجح</v>
      </c>
      <c r="G676" s="3" t="n">
        <v>0</v>
      </c>
      <c r="H676" s="3" t="n">
        <v>0</v>
      </c>
    </row>
    <row r="677" customFormat="false" ht="14.25" hidden="false" customHeight="true" outlineLevel="0" collapsed="false">
      <c r="A677" s="1"/>
      <c r="B677" s="1" t="s">
        <v>773</v>
      </c>
      <c r="C677" s="1" t="n">
        <v>24</v>
      </c>
      <c r="E677" s="11" t="s">
        <v>5</v>
      </c>
      <c r="F677" s="11" t="str">
        <f aca="false">IFERROR(__xludf.dummyfunction("GOOGLETRANSLATE(B677,""en"",""ar"")"),"ما لم")</f>
        <v>ما لم</v>
      </c>
      <c r="G677" s="3" t="n">
        <v>0</v>
      </c>
      <c r="H677" s="3" t="n">
        <v>0</v>
      </c>
    </row>
    <row r="678" customFormat="false" ht="14.25" hidden="false" customHeight="true" outlineLevel="0" collapsed="false">
      <c r="A678" s="1"/>
      <c r="B678" s="1" t="s">
        <v>774</v>
      </c>
      <c r="C678" s="1" t="n">
        <v>23</v>
      </c>
      <c r="E678" s="11" t="s">
        <v>235</v>
      </c>
      <c r="F678" s="11" t="str">
        <f aca="false">IFERROR(__xludf.dummyfunction("GOOGLETRANSLATE(B678,""en"",""ar"")"),"نشيط")</f>
        <v>نشيط</v>
      </c>
      <c r="G678" s="3" t="n">
        <v>0</v>
      </c>
      <c r="H678" s="3" t="n">
        <v>0</v>
      </c>
    </row>
    <row r="679" customFormat="false" ht="14.25" hidden="false" customHeight="true" outlineLevel="0" collapsed="false">
      <c r="A679" s="1"/>
      <c r="B679" s="1" t="s">
        <v>775</v>
      </c>
      <c r="C679" s="1" t="n">
        <v>23</v>
      </c>
      <c r="E679" s="11" t="s">
        <v>94</v>
      </c>
      <c r="F679" s="11" t="str">
        <f aca="false">IFERROR(__xludf.dummyfunction("GOOGLETRANSLATE(B679,""en"",""ar"")"),"فترة راحة")</f>
        <v>فترة راحة</v>
      </c>
      <c r="G679" s="3" t="n">
        <v>0</v>
      </c>
      <c r="H679" s="3" t="n">
        <v>0</v>
      </c>
    </row>
    <row r="680" customFormat="false" ht="14.25" hidden="false" customHeight="true" outlineLevel="0" collapsed="false">
      <c r="A680" s="1"/>
      <c r="B680" s="1" t="s">
        <v>776</v>
      </c>
      <c r="C680" s="1" t="n">
        <v>23</v>
      </c>
      <c r="E680" s="11" t="s">
        <v>79</v>
      </c>
      <c r="F680" s="11" t="str">
        <f aca="false">IFERROR(__xludf.dummyfunction("GOOGLETRANSLATE(B680,""en"",""ar"")"),"كيمياء")</f>
        <v>كيمياء</v>
      </c>
      <c r="G680" s="3" t="n">
        <v>0</v>
      </c>
      <c r="H680" s="3" t="n">
        <v>0</v>
      </c>
    </row>
    <row r="681" customFormat="false" ht="14.25" hidden="false" customHeight="true" outlineLevel="0" collapsed="false">
      <c r="A681" s="1"/>
      <c r="B681" s="1" t="s">
        <v>777</v>
      </c>
      <c r="C681" s="1" t="n">
        <v>23</v>
      </c>
      <c r="E681" s="11" t="s">
        <v>119</v>
      </c>
      <c r="F681" s="11" t="str">
        <f aca="false">IFERROR(__xludf.dummyfunction("GOOGLETRANSLATE(B681,""en"",""ar"")"),"دورة")</f>
        <v>دورة</v>
      </c>
      <c r="G681" s="3" t="n">
        <v>0</v>
      </c>
      <c r="H681" s="3" t="n">
        <v>0</v>
      </c>
    </row>
    <row r="682" customFormat="false" ht="14.25" hidden="false" customHeight="true" outlineLevel="0" collapsed="false">
      <c r="A682" s="1"/>
      <c r="B682" s="1" t="s">
        <v>778</v>
      </c>
      <c r="C682" s="1" t="n">
        <v>23</v>
      </c>
      <c r="E682" s="11" t="s">
        <v>79</v>
      </c>
      <c r="F682" s="11" t="str">
        <f aca="false">IFERROR(__xludf.dummyfunction("GOOGLETRANSLATE(B682,""en"",""ar"")"),"مرض")</f>
        <v>مرض</v>
      </c>
      <c r="G682" s="3" t="n">
        <v>0</v>
      </c>
      <c r="H682" s="3" t="n">
        <v>0</v>
      </c>
    </row>
    <row r="683" customFormat="false" ht="14.25" hidden="false" customHeight="true" outlineLevel="0" collapsed="false">
      <c r="A683" s="1"/>
      <c r="B683" s="1" t="s">
        <v>779</v>
      </c>
      <c r="C683" s="1" t="n">
        <v>23</v>
      </c>
      <c r="E683" s="11" t="s">
        <v>79</v>
      </c>
      <c r="F683" s="11" t="str">
        <f aca="false">IFERROR(__xludf.dummyfunction("GOOGLETRANSLATE(B683,""en"",""ar"")"),"أسطوانة")</f>
        <v>أسطوانة</v>
      </c>
      <c r="G683" s="3" t="n">
        <v>0</v>
      </c>
      <c r="H683" s="3" t="n">
        <v>0</v>
      </c>
    </row>
    <row r="684" customFormat="false" ht="14.25" hidden="false" customHeight="true" outlineLevel="0" collapsed="false">
      <c r="A684" s="1"/>
      <c r="B684" s="1" t="s">
        <v>780</v>
      </c>
      <c r="C684" s="1" t="n">
        <v>23</v>
      </c>
      <c r="E684" s="11" t="s">
        <v>112</v>
      </c>
      <c r="F684" s="11" t="str">
        <f aca="false">IFERROR(__xludf.dummyfunction("GOOGLETRANSLATE(B684,""en"",""ar"")"),"الكهرباء")</f>
        <v>الكهرباء</v>
      </c>
      <c r="G684" s="3" t="n">
        <v>0</v>
      </c>
      <c r="H684" s="3" t="n">
        <v>0</v>
      </c>
    </row>
    <row r="685" customFormat="false" ht="14.25" hidden="false" customHeight="true" outlineLevel="0" collapsed="false">
      <c r="A685" s="1"/>
      <c r="B685" s="1" t="s">
        <v>781</v>
      </c>
      <c r="C685" s="1" t="n">
        <v>23</v>
      </c>
      <c r="E685" s="11" t="s">
        <v>79</v>
      </c>
      <c r="F685" s="11" t="str">
        <f aca="false">IFERROR(__xludf.dummyfunction("GOOGLETRANSLATE(B685,""en"",""ar"")"),"طاقة")</f>
        <v>طاقة</v>
      </c>
      <c r="G685" s="3" t="n">
        <v>0</v>
      </c>
      <c r="H685" s="3" t="n">
        <v>0</v>
      </c>
    </row>
    <row r="686" customFormat="false" ht="14.25" hidden="false" customHeight="true" outlineLevel="0" collapsed="false">
      <c r="A686" s="1"/>
      <c r="B686" s="1" t="s">
        <v>782</v>
      </c>
      <c r="C686" s="1" t="n">
        <v>23</v>
      </c>
      <c r="E686" s="11" t="s">
        <v>112</v>
      </c>
      <c r="F686" s="11" t="str">
        <f aca="false">IFERROR(__xludf.dummyfunction("GOOGLETRANSLATE(B686,""en"",""ar"")"),"مكلفة")</f>
        <v>مكلفة</v>
      </c>
      <c r="G686" s="3" t="n">
        <v>0</v>
      </c>
      <c r="H686" s="3" t="n">
        <v>0</v>
      </c>
    </row>
    <row r="687" customFormat="false" ht="14.25" hidden="false" customHeight="true" outlineLevel="0" collapsed="false">
      <c r="A687" s="1"/>
      <c r="B687" s="1" t="s">
        <v>783</v>
      </c>
      <c r="C687" s="1" t="n">
        <v>23</v>
      </c>
      <c r="E687" s="11" t="s">
        <v>119</v>
      </c>
      <c r="F687" s="11" t="str">
        <f aca="false">IFERROR(__xludf.dummyfunction("GOOGLETRANSLATE(B687,""en"",""ar"")"),"وجه")</f>
        <v>وجه</v>
      </c>
      <c r="G687" s="3" t="n">
        <v>0</v>
      </c>
      <c r="H687" s="3" t="n">
        <v>0</v>
      </c>
    </row>
    <row r="688" customFormat="false" ht="14.25" hidden="false" customHeight="true" outlineLevel="0" collapsed="false">
      <c r="A688" s="1"/>
      <c r="B688" s="1" t="s">
        <v>784</v>
      </c>
      <c r="C688" s="1" t="n">
        <v>23</v>
      </c>
      <c r="E688" s="11" t="s">
        <v>87</v>
      </c>
      <c r="F688" s="11" t="str">
        <f aca="false">IFERROR(__xludf.dummyfunction("GOOGLETRANSLATE(B688,""en"",""ar"")"),"يستفد")</f>
        <v>يستفد</v>
      </c>
      <c r="G688" s="3" t="n">
        <v>0</v>
      </c>
      <c r="H688" s="3" t="n">
        <v>0</v>
      </c>
    </row>
    <row r="689" customFormat="false" ht="14.25" hidden="false" customHeight="true" outlineLevel="0" collapsed="false">
      <c r="A689" s="1"/>
      <c r="B689" s="1" t="s">
        <v>785</v>
      </c>
      <c r="C689" s="1" t="n">
        <v>23</v>
      </c>
      <c r="E689" s="11" t="s">
        <v>786</v>
      </c>
      <c r="F689" s="11" t="str">
        <f aca="false">IFERROR(__xludf.dummyfunction("GOOGLETRANSLATE(B689,""en"",""ar"")"),"العنصر")</f>
        <v>العنصر</v>
      </c>
      <c r="G689" s="3" t="n">
        <v>0</v>
      </c>
      <c r="H689" s="3" t="n">
        <v>0</v>
      </c>
    </row>
    <row r="690" customFormat="false" ht="14.25" hidden="false" customHeight="true" outlineLevel="0" collapsed="false">
      <c r="A690" s="1"/>
      <c r="B690" s="1" t="s">
        <v>787</v>
      </c>
      <c r="C690" s="1" t="n">
        <v>23</v>
      </c>
      <c r="E690" s="11" t="s">
        <v>119</v>
      </c>
      <c r="F690" s="11" t="str">
        <f aca="false">IFERROR(__xludf.dummyfunction("GOOGLETRANSLATE(B690,""en"",""ar"")"),"فلز")</f>
        <v>فلز</v>
      </c>
      <c r="G690" s="3" t="n">
        <v>0</v>
      </c>
      <c r="H690" s="3" t="n">
        <v>0</v>
      </c>
    </row>
    <row r="691" customFormat="false" ht="14.25" hidden="false" customHeight="true" outlineLevel="0" collapsed="false">
      <c r="A691" s="1"/>
      <c r="B691" s="1" t="s">
        <v>788</v>
      </c>
      <c r="C691" s="1" t="n">
        <v>23</v>
      </c>
      <c r="E691" s="11" t="s">
        <v>79</v>
      </c>
      <c r="F691" s="11" t="str">
        <f aca="false">IFERROR(__xludf.dummyfunction("GOOGLETRANSLATE(B691,""en"",""ar"")"),"الأمة")</f>
        <v>الأمة</v>
      </c>
      <c r="G691" s="3" t="n">
        <v>0</v>
      </c>
      <c r="H691" s="3" t="n">
        <v>0</v>
      </c>
    </row>
    <row r="692" customFormat="false" ht="14.25" hidden="false" customHeight="true" outlineLevel="0" collapsed="false">
      <c r="A692" s="1"/>
      <c r="B692" s="1" t="s">
        <v>789</v>
      </c>
      <c r="C692" s="1" t="n">
        <v>23</v>
      </c>
      <c r="E692" s="11" t="s">
        <v>790</v>
      </c>
      <c r="F692" s="11" t="str">
        <f aca="false">IFERROR(__xludf.dummyfunction("GOOGLETRANSLATE(B692,""en"",""ar"")"),"نفي")</f>
        <v>نفي</v>
      </c>
      <c r="G692" s="3" t="n">
        <v>0</v>
      </c>
      <c r="H692" s="3" t="n">
        <v>0</v>
      </c>
    </row>
    <row r="693" customFormat="false" ht="14.25" hidden="false" customHeight="true" outlineLevel="0" collapsed="false">
      <c r="A693" s="1"/>
      <c r="B693" s="1" t="s">
        <v>791</v>
      </c>
      <c r="C693" s="1" t="n">
        <v>23</v>
      </c>
      <c r="E693" s="11" t="s">
        <v>12</v>
      </c>
      <c r="F693" s="11" t="str">
        <f aca="false">IFERROR(__xludf.dummyfunction("GOOGLETRANSLATE(B693,""en"",""ar"")"),"تحدث")</f>
        <v>تحدث</v>
      </c>
      <c r="G693" s="3" t="n">
        <v>0</v>
      </c>
      <c r="H693" s="3" t="n">
        <v>0</v>
      </c>
    </row>
    <row r="694" customFormat="false" ht="14.25" hidden="false" customHeight="true" outlineLevel="0" collapsed="false">
      <c r="A694" s="1"/>
      <c r="B694" s="1" t="s">
        <v>792</v>
      </c>
      <c r="C694" s="1" t="n">
        <v>23</v>
      </c>
      <c r="E694" s="11" t="s">
        <v>119</v>
      </c>
      <c r="F694" s="11" t="str">
        <f aca="false">IFERROR(__xludf.dummyfunction("GOOGLETRANSLATE(B694,""en"",""ar"")"),"رسم")</f>
        <v>رسم</v>
      </c>
      <c r="G694" s="3" t="n">
        <v>0</v>
      </c>
      <c r="H694" s="3" t="n">
        <v>0</v>
      </c>
    </row>
    <row r="695" customFormat="false" ht="14.25" hidden="false" customHeight="true" outlineLevel="0" collapsed="false">
      <c r="A695" s="1"/>
      <c r="B695" s="1" t="s">
        <v>793</v>
      </c>
      <c r="C695" s="1" t="n">
        <v>23</v>
      </c>
      <c r="E695" s="11" t="s">
        <v>112</v>
      </c>
      <c r="F695" s="11" t="str">
        <f aca="false">IFERROR(__xludf.dummyfunction("GOOGLETRANSLATE(B695,""en"",""ar"")"),"حامل")</f>
        <v>حامل</v>
      </c>
      <c r="G695" s="3" t="n">
        <v>0</v>
      </c>
      <c r="H695" s="3" t="n">
        <v>0</v>
      </c>
    </row>
    <row r="696" customFormat="false" ht="14.25" hidden="false" customHeight="true" outlineLevel="0" collapsed="false">
      <c r="A696" s="1"/>
      <c r="B696" s="1" t="s">
        <v>794</v>
      </c>
      <c r="C696" s="1" t="n">
        <v>23</v>
      </c>
      <c r="E696" s="11" t="s">
        <v>119</v>
      </c>
      <c r="F696" s="11" t="str">
        <f aca="false">IFERROR(__xludf.dummyfunction("GOOGLETRANSLATE(B696,""en"",""ar"")"),"إعادة النظر")</f>
        <v>إعادة النظر</v>
      </c>
      <c r="G696" s="3" t="n">
        <v>0</v>
      </c>
      <c r="H696" s="3" t="n">
        <v>0</v>
      </c>
    </row>
    <row r="697" customFormat="false" ht="14.25" hidden="false" customHeight="true" outlineLevel="0" collapsed="false">
      <c r="A697" s="1"/>
      <c r="B697" s="1" t="s">
        <v>795</v>
      </c>
      <c r="C697" s="1" t="n">
        <v>23</v>
      </c>
      <c r="E697" s="11" t="s">
        <v>79</v>
      </c>
      <c r="F697" s="11" t="str">
        <f aca="false">IFERROR(__xludf.dummyfunction("GOOGLETRANSLATE(B697,""en"",""ar"")"),"طريق")</f>
        <v>طريق</v>
      </c>
      <c r="G697" s="3" t="n">
        <v>0</v>
      </c>
      <c r="H697" s="3" t="n">
        <v>0</v>
      </c>
    </row>
    <row r="698" customFormat="false" ht="14.25" hidden="false" customHeight="true" outlineLevel="0" collapsed="false">
      <c r="A698" s="1"/>
      <c r="B698" s="1" t="s">
        <v>796</v>
      </c>
      <c r="C698" s="1" t="n">
        <v>23</v>
      </c>
      <c r="E698" s="11" t="s">
        <v>79</v>
      </c>
      <c r="F698" s="11" t="str">
        <f aca="false">IFERROR(__xludf.dummyfunction("GOOGLETRANSLATE(B698,""en"",""ar"")"),"وظيفة")</f>
        <v>وظيفة</v>
      </c>
      <c r="G698" s="3" t="n">
        <v>0</v>
      </c>
      <c r="H698" s="3" t="n">
        <v>0</v>
      </c>
    </row>
    <row r="699" customFormat="false" ht="14.25" hidden="false" customHeight="true" outlineLevel="0" collapsed="false">
      <c r="A699" s="1"/>
      <c r="B699" s="1" t="s">
        <v>797</v>
      </c>
      <c r="C699" s="1" t="n">
        <v>23</v>
      </c>
      <c r="E699" s="11" t="s">
        <v>119</v>
      </c>
      <c r="F699" s="11" t="str">
        <f aca="false">IFERROR(__xludf.dummyfunction("GOOGLETRANSLATE(B699,""en"",""ar"")"),"مجال")</f>
        <v>مجال</v>
      </c>
      <c r="G699" s="3" t="n">
        <v>0</v>
      </c>
      <c r="H699" s="3" t="n">
        <v>0</v>
      </c>
    </row>
    <row r="700" customFormat="false" ht="14.25" hidden="false" customHeight="true" outlineLevel="0" collapsed="false">
      <c r="A700" s="1"/>
      <c r="B700" s="1" t="s">
        <v>798</v>
      </c>
      <c r="C700" s="1" t="n">
        <v>23</v>
      </c>
      <c r="E700" s="11" t="s">
        <v>235</v>
      </c>
      <c r="F700" s="11" t="str">
        <f aca="false">IFERROR(__xludf.dummyfunction("GOOGLETRANSLATE(B700,""en"",""ar"")"),"آمنة")</f>
        <v>آمنة</v>
      </c>
      <c r="G700" s="3" t="n">
        <v>0</v>
      </c>
      <c r="H700" s="3" t="n">
        <v>0</v>
      </c>
    </row>
    <row r="701" customFormat="false" ht="14.25" hidden="false" customHeight="true" outlineLevel="0" collapsed="false">
      <c r="A701" s="1"/>
      <c r="B701" s="1" t="s">
        <v>799</v>
      </c>
      <c r="C701" s="1" t="n">
        <v>23</v>
      </c>
      <c r="E701" s="11" t="s">
        <v>119</v>
      </c>
      <c r="F701" s="11" t="str">
        <f aca="false">IFERROR(__xludf.dummyfunction("GOOGLETRANSLATE(B701,""en"",""ar"")"),"شاشة")</f>
        <v>شاشة</v>
      </c>
      <c r="G701" s="3" t="n">
        <v>0</v>
      </c>
      <c r="H701" s="3" t="n">
        <v>0</v>
      </c>
    </row>
    <row r="702" customFormat="false" ht="14.25" hidden="false" customHeight="true" outlineLevel="0" collapsed="false">
      <c r="A702" s="1"/>
      <c r="B702" s="1" t="s">
        <v>800</v>
      </c>
      <c r="C702" s="1" t="n">
        <v>23</v>
      </c>
      <c r="E702" s="11" t="s">
        <v>79</v>
      </c>
      <c r="F702" s="11" t="str">
        <f aca="false">IFERROR(__xludf.dummyfunction("GOOGLETRANSLATE(B702,""en"",""ar"")"),"حساء")</f>
        <v>حساء</v>
      </c>
      <c r="G702" s="3" t="n">
        <v>0</v>
      </c>
      <c r="H702" s="3" t="n">
        <v>0</v>
      </c>
    </row>
    <row r="703" customFormat="false" ht="14.25" hidden="false" customHeight="true" outlineLevel="0" collapsed="false">
      <c r="A703" s="1"/>
      <c r="B703" s="1" t="s">
        <v>801</v>
      </c>
      <c r="C703" s="1" t="n">
        <v>23</v>
      </c>
      <c r="E703" s="11" t="s">
        <v>94</v>
      </c>
      <c r="F703" s="11" t="str">
        <f aca="false">IFERROR(__xludf.dummyfunction("GOOGLETRANSLATE(B703,""en"",""ar"")"),"يقضي")</f>
        <v>يقضي</v>
      </c>
      <c r="G703" s="3" t="n">
        <v>0</v>
      </c>
      <c r="H703" s="3" t="n">
        <v>0</v>
      </c>
    </row>
    <row r="704" customFormat="false" ht="14.25" hidden="false" customHeight="true" outlineLevel="0" collapsed="false">
      <c r="A704" s="1"/>
      <c r="B704" s="1" t="s">
        <v>802</v>
      </c>
      <c r="C704" s="1" t="n">
        <v>23</v>
      </c>
      <c r="E704" s="11" t="s">
        <v>119</v>
      </c>
      <c r="F704" s="11" t="str">
        <f aca="false">IFERROR(__xludf.dummyfunction("GOOGLETRANSLATE(B704,""en"",""ar"")"),"بنية")</f>
        <v>بنية</v>
      </c>
      <c r="G704" s="3" t="n">
        <v>0</v>
      </c>
      <c r="H704" s="3" t="n">
        <v>0</v>
      </c>
    </row>
    <row r="705" customFormat="false" ht="14.25" hidden="false" customHeight="true" outlineLevel="0" collapsed="false">
      <c r="A705" s="1"/>
      <c r="B705" s="1" t="s">
        <v>803</v>
      </c>
      <c r="C705" s="1" t="n">
        <v>23</v>
      </c>
      <c r="E705" s="11" t="s">
        <v>119</v>
      </c>
      <c r="F705" s="11" t="str">
        <f aca="false">IFERROR(__xludf.dummyfunction("GOOGLETRANSLATE(B705,""en"",""ar"")"),"منظر")</f>
        <v>منظر</v>
      </c>
      <c r="G705" s="3" t="n">
        <v>0</v>
      </c>
      <c r="H705" s="3" t="n">
        <v>0</v>
      </c>
    </row>
    <row r="706" customFormat="false" ht="14.25" hidden="false" customHeight="true" outlineLevel="0" collapsed="false">
      <c r="A706" s="1"/>
      <c r="B706" s="1" t="s">
        <v>804</v>
      </c>
      <c r="C706" s="1" t="n">
        <v>23</v>
      </c>
      <c r="E706" s="11" t="s">
        <v>94</v>
      </c>
      <c r="F706" s="11" t="str">
        <f aca="false">IFERROR(__xludf.dummyfunction("GOOGLETRANSLATE(B706,""en"",""ar"")"),"يزور")</f>
        <v>يزور</v>
      </c>
      <c r="G706" s="3" t="n">
        <v>0</v>
      </c>
      <c r="H706" s="3" t="n">
        <v>0</v>
      </c>
    </row>
    <row r="707" customFormat="false" ht="14.25" hidden="false" customHeight="true" outlineLevel="0" collapsed="false">
      <c r="A707" s="1"/>
      <c r="B707" s="1" t="s">
        <v>805</v>
      </c>
      <c r="C707" s="1" t="n">
        <v>23</v>
      </c>
      <c r="E707" s="11" t="s">
        <v>235</v>
      </c>
      <c r="F707" s="11" t="str">
        <f aca="false">IFERROR(__xludf.dummyfunction("GOOGLETRANSLATE(B707,""en"",""ar"")"),"المرئية")</f>
        <v>المرئية</v>
      </c>
      <c r="G707" s="3" t="n">
        <v>0</v>
      </c>
      <c r="H707" s="3" t="n">
        <v>0</v>
      </c>
    </row>
    <row r="708" customFormat="false" ht="14.25" hidden="false" customHeight="true" outlineLevel="0" collapsed="false">
      <c r="A708" s="1"/>
      <c r="B708" s="1" t="s">
        <v>806</v>
      </c>
      <c r="C708" s="1" t="n">
        <v>23</v>
      </c>
      <c r="E708" s="11" t="s">
        <v>12</v>
      </c>
      <c r="F708" s="11" t="str">
        <f aca="false">IFERROR(__xludf.dummyfunction("GOOGLETRANSLATE(B708,""en"",""ar"")"),"كتابة")</f>
        <v>كتابة</v>
      </c>
      <c r="G708" s="3" t="n">
        <v>0</v>
      </c>
      <c r="H708" s="3" t="n">
        <v>0</v>
      </c>
    </row>
    <row r="709" customFormat="false" ht="14.25" hidden="false" customHeight="true" outlineLevel="0" collapsed="false">
      <c r="A709" s="1"/>
      <c r="B709" s="1" t="s">
        <v>807</v>
      </c>
      <c r="C709" s="1" t="n">
        <v>23</v>
      </c>
      <c r="E709" s="11" t="s">
        <v>205</v>
      </c>
      <c r="F709" s="11" t="str">
        <f aca="false">IFERROR(__xludf.dummyfunction("GOOGLETRANSLATE(B709,""en"",""ar"")"),"خاطئ")</f>
        <v>خاطئ</v>
      </c>
      <c r="G709" s="3" t="n">
        <v>0</v>
      </c>
      <c r="H709" s="3" t="n">
        <v>0</v>
      </c>
    </row>
    <row r="710" customFormat="false" ht="14.25" hidden="false" customHeight="true" outlineLevel="0" collapsed="false">
      <c r="A710" s="1"/>
      <c r="B710" s="1" t="s">
        <v>808</v>
      </c>
      <c r="C710" s="1" t="n">
        <v>22</v>
      </c>
      <c r="E710" s="11" t="s">
        <v>119</v>
      </c>
      <c r="F710" s="11" t="str">
        <f aca="false">IFERROR(__xludf.dummyfunction("GOOGLETRANSLATE(B710,""en"",""ar"")"),"الحساب")</f>
        <v>الحساب</v>
      </c>
      <c r="G710" s="3" t="n">
        <v>0</v>
      </c>
      <c r="H710" s="3" t="n">
        <v>0</v>
      </c>
    </row>
    <row r="711" customFormat="false" ht="14.25" hidden="false" customHeight="true" outlineLevel="0" collapsed="false">
      <c r="A711" s="1"/>
      <c r="B711" s="1" t="s">
        <v>809</v>
      </c>
      <c r="C711" s="1" t="n">
        <v>22</v>
      </c>
      <c r="E711" s="11" t="s">
        <v>79</v>
      </c>
      <c r="F711" s="11" t="str">
        <f aca="false">IFERROR(__xludf.dummyfunction("GOOGLETRANSLATE(B711,""en"",""ar"")"),"إعلان")</f>
        <v>إعلان</v>
      </c>
      <c r="G711" s="3" t="n">
        <v>0</v>
      </c>
      <c r="H711" s="3" t="n">
        <v>0</v>
      </c>
    </row>
    <row r="712" customFormat="false" ht="14.25" hidden="false" customHeight="true" outlineLevel="0" collapsed="false">
      <c r="A712" s="1"/>
      <c r="B712" s="1" t="s">
        <v>810</v>
      </c>
      <c r="C712" s="1" t="n">
        <v>22</v>
      </c>
      <c r="E712" s="11" t="s">
        <v>94</v>
      </c>
      <c r="F712" s="11" t="str">
        <f aca="false">IFERROR(__xludf.dummyfunction("GOOGLETRANSLATE(B712,""en"",""ar"")"),"تؤثر")</f>
        <v>تؤثر</v>
      </c>
      <c r="G712" s="3" t="n">
        <v>0</v>
      </c>
      <c r="H712" s="3" t="n">
        <v>0</v>
      </c>
    </row>
    <row r="713" customFormat="false" ht="14.25" hidden="false" customHeight="true" outlineLevel="0" collapsed="false">
      <c r="A713" s="1"/>
      <c r="B713" s="1" t="s">
        <v>811</v>
      </c>
      <c r="C713" s="1" t="n">
        <v>22</v>
      </c>
      <c r="E713" s="11" t="s">
        <v>50</v>
      </c>
      <c r="F713" s="11" t="str">
        <f aca="false">IFERROR(__xludf.dummyfunction("GOOGLETRANSLATE(B713,""en"",""ar"")"),"منذ")</f>
        <v>منذ</v>
      </c>
      <c r="G713" s="3" t="n">
        <v>0</v>
      </c>
      <c r="H713" s="3" t="n">
        <v>0</v>
      </c>
    </row>
    <row r="714" customFormat="false" ht="14.25" hidden="false" customHeight="true" outlineLevel="0" collapsed="false">
      <c r="A714" s="1"/>
      <c r="B714" s="1" t="s">
        <v>812</v>
      </c>
      <c r="C714" s="1" t="n">
        <v>22</v>
      </c>
      <c r="E714" s="11" t="s">
        <v>30</v>
      </c>
      <c r="F714" s="11" t="str">
        <f aca="false">IFERROR(__xludf.dummyfunction("GOOGLETRANSLATE(B714,""en"",""ar"")"),"أي واحد")</f>
        <v>أي واحد</v>
      </c>
      <c r="G714" s="3" t="n">
        <v>0</v>
      </c>
      <c r="H714" s="3" t="n">
        <v>0</v>
      </c>
    </row>
    <row r="715" customFormat="false" ht="14.25" hidden="false" customHeight="true" outlineLevel="0" collapsed="false">
      <c r="A715" s="1"/>
      <c r="B715" s="1" t="s">
        <v>813</v>
      </c>
      <c r="C715" s="1" t="n">
        <v>22</v>
      </c>
      <c r="E715" s="11" t="s">
        <v>12</v>
      </c>
      <c r="F715" s="11" t="str">
        <f aca="false">IFERROR(__xludf.dummyfunction("GOOGLETRANSLATE(B715,""en"",""ar"")"),"مقاربة")</f>
        <v>مقاربة</v>
      </c>
      <c r="G715" s="3" t="n">
        <v>0</v>
      </c>
      <c r="H715" s="3" t="n">
        <v>0</v>
      </c>
    </row>
    <row r="716" customFormat="false" ht="14.25" hidden="false" customHeight="true" outlineLevel="0" collapsed="false">
      <c r="A716" s="1"/>
      <c r="B716" s="1" t="s">
        <v>814</v>
      </c>
      <c r="C716" s="1" t="n">
        <v>22</v>
      </c>
      <c r="E716" s="11" t="s">
        <v>12</v>
      </c>
      <c r="F716" s="11" t="str">
        <f aca="false">IFERROR(__xludf.dummyfunction("GOOGLETRANSLATE(B716,""en"",""ar"")"),"تجنب")</f>
        <v>تجنب</v>
      </c>
      <c r="G716" s="3" t="n">
        <v>0</v>
      </c>
      <c r="H716" s="3" t="n">
        <v>0</v>
      </c>
    </row>
    <row r="717" customFormat="false" ht="14.25" hidden="false" customHeight="true" outlineLevel="0" collapsed="false">
      <c r="A717" s="1"/>
      <c r="B717" s="1" t="s">
        <v>815</v>
      </c>
      <c r="C717" s="1" t="n">
        <v>22</v>
      </c>
      <c r="E717" s="11" t="s">
        <v>119</v>
      </c>
      <c r="F717" s="11" t="str">
        <f aca="false">IFERROR(__xludf.dummyfunction("GOOGLETRANSLATE(B717,""en"",""ar"")"),"كرة")</f>
        <v>كرة</v>
      </c>
      <c r="G717" s="3" t="n">
        <v>0</v>
      </c>
      <c r="H717" s="3" t="n">
        <v>0</v>
      </c>
    </row>
    <row r="718" customFormat="false" ht="14.25" hidden="false" customHeight="true" outlineLevel="0" collapsed="false">
      <c r="A718" s="1"/>
      <c r="B718" s="1" t="s">
        <v>816</v>
      </c>
      <c r="C718" s="1" t="n">
        <v>22</v>
      </c>
      <c r="E718" s="11" t="s">
        <v>817</v>
      </c>
      <c r="F718" s="11" t="str">
        <f aca="false">IFERROR(__xludf.dummyfunction("GOOGLETRANSLATE(B718,""en"",""ar"")"),"وراء")</f>
        <v>وراء</v>
      </c>
      <c r="G718" s="3" t="n">
        <v>0</v>
      </c>
      <c r="H718" s="3" t="n">
        <v>0</v>
      </c>
    </row>
    <row r="719" customFormat="false" ht="14.25" hidden="false" customHeight="true" outlineLevel="0" collapsed="false">
      <c r="A719" s="1"/>
      <c r="B719" s="1" t="s">
        <v>818</v>
      </c>
      <c r="C719" s="1" t="n">
        <v>22</v>
      </c>
      <c r="E719" s="11" t="s">
        <v>42</v>
      </c>
      <c r="F719" s="11" t="str">
        <f aca="false">IFERROR(__xludf.dummyfunction("GOOGLETRANSLATE(B719,""en"",""ar"")"),"من المؤكد")</f>
        <v>من المؤكد</v>
      </c>
      <c r="G719" s="3" t="n">
        <v>0</v>
      </c>
      <c r="H719" s="3" t="n">
        <v>0</v>
      </c>
    </row>
    <row r="720" customFormat="false" ht="14.25" hidden="false" customHeight="true" outlineLevel="0" collapsed="false">
      <c r="A720" s="1"/>
      <c r="B720" s="1" t="s">
        <v>819</v>
      </c>
      <c r="C720" s="1" t="n">
        <v>22</v>
      </c>
      <c r="E720" s="11" t="s">
        <v>87</v>
      </c>
      <c r="F720" s="11" t="str">
        <f aca="false">IFERROR(__xludf.dummyfunction("GOOGLETRANSLATE(B720,""en"",""ar"")"),"المعنية")</f>
        <v>المعنية</v>
      </c>
      <c r="G720" s="3" t="n">
        <v>0</v>
      </c>
      <c r="H720" s="3" t="n">
        <v>0</v>
      </c>
    </row>
    <row r="721" customFormat="false" ht="14.25" hidden="false" customHeight="true" outlineLevel="0" collapsed="false">
      <c r="A721" s="1"/>
      <c r="B721" s="1" t="s">
        <v>820</v>
      </c>
      <c r="C721" s="1" t="n">
        <v>22</v>
      </c>
      <c r="E721" s="11" t="s">
        <v>94</v>
      </c>
      <c r="F721" s="11" t="str">
        <f aca="false">IFERROR(__xludf.dummyfunction("GOOGLETRANSLATE(B721,""en"",""ar"")"),"غطاء، يغطي")</f>
        <v>غطاء، يغطي</v>
      </c>
      <c r="G721" s="3" t="n">
        <v>0</v>
      </c>
      <c r="H721" s="3" t="n">
        <v>0</v>
      </c>
    </row>
    <row r="722" customFormat="false" ht="14.25" hidden="false" customHeight="true" outlineLevel="0" collapsed="false">
      <c r="A722" s="1"/>
      <c r="B722" s="1" t="s">
        <v>821</v>
      </c>
      <c r="C722" s="1" t="n">
        <v>22</v>
      </c>
      <c r="E722" s="11" t="s">
        <v>119</v>
      </c>
      <c r="F722" s="11" t="str">
        <f aca="false">IFERROR(__xludf.dummyfunction("GOOGLETRANSLATE(B722,""en"",""ar"")"),"انضباط")</f>
        <v>انضباط</v>
      </c>
      <c r="G722" s="3" t="n">
        <v>0</v>
      </c>
      <c r="H722" s="3" t="n">
        <v>0</v>
      </c>
    </row>
    <row r="723" customFormat="false" ht="14.25" hidden="false" customHeight="true" outlineLevel="0" collapsed="false">
      <c r="A723" s="1"/>
      <c r="B723" s="1" t="s">
        <v>822</v>
      </c>
      <c r="C723" s="1" t="n">
        <v>22</v>
      </c>
      <c r="E723" s="11" t="s">
        <v>79</v>
      </c>
      <c r="F723" s="11" t="str">
        <f aca="false">IFERROR(__xludf.dummyfunction("GOOGLETRANSLATE(B723,""en"",""ar"")"),"موقعك")</f>
        <v>موقعك</v>
      </c>
      <c r="G723" s="3" t="n">
        <v>0</v>
      </c>
      <c r="H723" s="3" t="n">
        <v>0</v>
      </c>
    </row>
    <row r="724" customFormat="false" ht="14.25" hidden="false" customHeight="true" outlineLevel="0" collapsed="false">
      <c r="A724" s="1"/>
      <c r="B724" s="1" t="s">
        <v>823</v>
      </c>
      <c r="C724" s="1" t="n">
        <v>22</v>
      </c>
      <c r="E724" s="11" t="s">
        <v>148</v>
      </c>
      <c r="F724" s="11" t="str">
        <f aca="false">IFERROR(__xludf.dummyfunction("GOOGLETRANSLATE(B724,""en"",""ar"")"),"متوسط")</f>
        <v>متوسط</v>
      </c>
      <c r="G724" s="3" t="n">
        <v>0</v>
      </c>
      <c r="H724" s="3" t="n">
        <v>0</v>
      </c>
    </row>
    <row r="725" customFormat="false" ht="14.25" hidden="false" customHeight="true" outlineLevel="0" collapsed="false">
      <c r="A725" s="1"/>
      <c r="B725" s="1" t="s">
        <v>824</v>
      </c>
      <c r="C725" s="1" t="n">
        <v>22</v>
      </c>
      <c r="E725" s="11" t="s">
        <v>42</v>
      </c>
      <c r="F725" s="11" t="str">
        <f aca="false">IFERROR(__xludf.dummyfunction("GOOGLETRANSLATE(B725,""en"",""ar"")"),"بشكل طبيعي")</f>
        <v>بشكل طبيعي</v>
      </c>
      <c r="G725" s="3" t="n">
        <v>0</v>
      </c>
      <c r="H725" s="3" t="n">
        <v>0</v>
      </c>
    </row>
    <row r="726" customFormat="false" ht="14.25" hidden="false" customHeight="true" outlineLevel="0" collapsed="false">
      <c r="A726" s="1"/>
      <c r="B726" s="1" t="s">
        <v>825</v>
      </c>
      <c r="C726" s="1" t="n">
        <v>22</v>
      </c>
      <c r="E726" s="11" t="s">
        <v>12</v>
      </c>
      <c r="F726" s="11" t="str">
        <f aca="false">IFERROR(__xludf.dummyfunction("GOOGLETRANSLATE(B726,""en"",""ar"")"),"إعداد")</f>
        <v>إعداد</v>
      </c>
      <c r="G726" s="3" t="n">
        <v>0</v>
      </c>
      <c r="H726" s="3" t="n">
        <v>0</v>
      </c>
    </row>
    <row r="727" customFormat="false" ht="14.25" hidden="false" customHeight="true" outlineLevel="0" collapsed="false">
      <c r="A727" s="1"/>
      <c r="B727" s="1" t="s">
        <v>826</v>
      </c>
      <c r="C727" s="1" t="n">
        <v>22</v>
      </c>
      <c r="E727" s="11" t="s">
        <v>336</v>
      </c>
      <c r="F727" s="11" t="str">
        <f aca="false">IFERROR(__xludf.dummyfunction("GOOGLETRANSLATE(B727,""en"",""ar"")"),"بسرعة")</f>
        <v>بسرعة</v>
      </c>
      <c r="G727" s="3" t="n">
        <v>0</v>
      </c>
      <c r="H727" s="3" t="n">
        <v>0</v>
      </c>
    </row>
    <row r="728" customFormat="false" ht="14.25" hidden="false" customHeight="true" outlineLevel="0" collapsed="false">
      <c r="A728" s="1"/>
      <c r="B728" s="1" t="s">
        <v>827</v>
      </c>
      <c r="C728" s="1" t="n">
        <v>22</v>
      </c>
      <c r="E728" s="11" t="s">
        <v>179</v>
      </c>
      <c r="F728" s="11" t="str">
        <f aca="false">IFERROR(__xludf.dummyfunction("GOOGLETRANSLATE(B728,""en"",""ar"")"),"جاهز")</f>
        <v>جاهز</v>
      </c>
      <c r="G728" s="3" t="n">
        <v>0</v>
      </c>
      <c r="H728" s="3" t="n">
        <v>0</v>
      </c>
    </row>
    <row r="729" customFormat="false" ht="14.25" hidden="false" customHeight="true" outlineLevel="0" collapsed="false">
      <c r="A729" s="1"/>
      <c r="B729" s="1" t="s">
        <v>828</v>
      </c>
      <c r="C729" s="1" t="n">
        <v>22</v>
      </c>
      <c r="E729" s="11" t="s">
        <v>94</v>
      </c>
      <c r="F729" s="11" t="str">
        <f aca="false">IFERROR(__xludf.dummyfunction("GOOGLETRANSLATE(B729,""en"",""ar"")"),"أبلغ عن")</f>
        <v>أبلغ عن</v>
      </c>
      <c r="G729" s="3" t="n">
        <v>0</v>
      </c>
      <c r="H729" s="3" t="n">
        <v>0</v>
      </c>
    </row>
    <row r="730" customFormat="false" ht="14.25" hidden="false" customHeight="true" outlineLevel="0" collapsed="false">
      <c r="A730" s="1"/>
      <c r="B730" s="1" t="s">
        <v>829</v>
      </c>
      <c r="C730" s="1" t="n">
        <v>22</v>
      </c>
      <c r="E730" s="11" t="s">
        <v>94</v>
      </c>
      <c r="F730" s="11" t="str">
        <f aca="false">IFERROR(__xludf.dummyfunction("GOOGLETRANSLATE(B730,""en"",""ar"")"),"يعلو")</f>
        <v>يعلو</v>
      </c>
      <c r="G730" s="3" t="n">
        <v>0</v>
      </c>
      <c r="H730" s="3" t="n">
        <v>0</v>
      </c>
    </row>
    <row r="731" customFormat="false" ht="14.25" hidden="false" customHeight="true" outlineLevel="0" collapsed="false">
      <c r="A731" s="1"/>
      <c r="B731" s="1" t="s">
        <v>830</v>
      </c>
      <c r="C731" s="1" t="n">
        <v>22</v>
      </c>
      <c r="E731" s="11" t="s">
        <v>119</v>
      </c>
      <c r="F731" s="11" t="str">
        <f aca="false">IFERROR(__xludf.dummyfunction("GOOGLETRANSLATE(B731,""en"",""ar"")"),"شارك")</f>
        <v>شارك</v>
      </c>
      <c r="G731" s="3" t="n">
        <v>0</v>
      </c>
      <c r="H731" s="3" t="n">
        <v>0</v>
      </c>
    </row>
    <row r="732" customFormat="false" ht="14.25" hidden="false" customHeight="true" outlineLevel="0" collapsed="false">
      <c r="A732" s="1"/>
      <c r="B732" s="1" t="s">
        <v>831</v>
      </c>
      <c r="C732" s="1" t="n">
        <v>22</v>
      </c>
      <c r="E732" s="11" t="s">
        <v>79</v>
      </c>
      <c r="F732" s="11" t="str">
        <f aca="false">IFERROR(__xludf.dummyfunction("GOOGLETRANSLATE(B732,""en"",""ar"")"),"نجاح")</f>
        <v>نجاح</v>
      </c>
      <c r="G732" s="3" t="n">
        <v>0</v>
      </c>
      <c r="H732" s="3" t="n">
        <v>0</v>
      </c>
    </row>
    <row r="733" customFormat="false" ht="14.25" hidden="false" customHeight="true" outlineLevel="0" collapsed="false">
      <c r="A733" s="1"/>
      <c r="B733" s="1" t="s">
        <v>832</v>
      </c>
      <c r="C733" s="1" t="n">
        <v>21</v>
      </c>
      <c r="E733" s="11" t="s">
        <v>79</v>
      </c>
      <c r="F733" s="11" t="str">
        <f aca="false">IFERROR(__xludf.dummyfunction("GOOGLETRANSLATE(B733,""en"",""ar"")"),"إضافة")</f>
        <v>إضافة</v>
      </c>
      <c r="G733" s="3" t="n">
        <v>0</v>
      </c>
      <c r="H733" s="3" t="n">
        <v>0</v>
      </c>
    </row>
    <row r="734" customFormat="false" ht="14.25" hidden="false" customHeight="true" outlineLevel="0" collapsed="false">
      <c r="A734" s="1"/>
      <c r="B734" s="1" t="s">
        <v>833</v>
      </c>
      <c r="C734" s="1" t="n">
        <v>21</v>
      </c>
      <c r="E734" s="11" t="s">
        <v>79</v>
      </c>
      <c r="F734" s="11" t="str">
        <f aca="false">IFERROR(__xludf.dummyfunction("GOOGLETRANSLATE(B734,""en"",""ar"")"),"شقة")</f>
        <v>شقة</v>
      </c>
      <c r="G734" s="3" t="n">
        <v>0</v>
      </c>
      <c r="H734" s="3" t="n">
        <v>0</v>
      </c>
    </row>
    <row r="735" customFormat="false" ht="14.25" hidden="false" customHeight="true" outlineLevel="0" collapsed="false">
      <c r="A735" s="1"/>
      <c r="B735" s="1" t="s">
        <v>834</v>
      </c>
      <c r="C735" s="1" t="n">
        <v>21</v>
      </c>
      <c r="E735" s="11" t="s">
        <v>119</v>
      </c>
      <c r="F735" s="11" t="str">
        <f aca="false">IFERROR(__xludf.dummyfunction("GOOGLETRANSLATE(B735,""en"",""ar"")"),"الرصيد")</f>
        <v>الرصيد</v>
      </c>
      <c r="G735" s="3" t="n">
        <v>0</v>
      </c>
      <c r="H735" s="3" t="n">
        <v>0</v>
      </c>
    </row>
    <row r="736" customFormat="false" ht="14.25" hidden="false" customHeight="true" outlineLevel="0" collapsed="false">
      <c r="A736" s="1"/>
      <c r="B736" s="1" t="s">
        <v>835</v>
      </c>
      <c r="C736" s="1" t="n">
        <v>21</v>
      </c>
      <c r="E736" s="11" t="s">
        <v>119</v>
      </c>
      <c r="F736" s="11" t="str">
        <f aca="false">IFERROR(__xludf.dummyfunction("GOOGLETRANSLATE(B736,""en"",""ar"")"),"قليلا")</f>
        <v>قليلا</v>
      </c>
      <c r="G736" s="3" t="n">
        <v>0</v>
      </c>
      <c r="H736" s="3" t="n">
        <v>0</v>
      </c>
    </row>
    <row r="737" customFormat="false" ht="14.25" hidden="false" customHeight="true" outlineLevel="0" collapsed="false">
      <c r="A737" s="1"/>
      <c r="B737" s="1" t="s">
        <v>836</v>
      </c>
      <c r="C737" s="1" t="n">
        <v>21</v>
      </c>
      <c r="E737" s="11" t="s">
        <v>837</v>
      </c>
      <c r="F737" s="11" t="str">
        <f aca="false">IFERROR(__xludf.dummyfunction("GOOGLETRANSLATE(B737,""en"",""ar"")"),"أسود")</f>
        <v>أسود</v>
      </c>
      <c r="G737" s="3" t="n">
        <v>0</v>
      </c>
      <c r="H737" s="3" t="n">
        <v>0</v>
      </c>
    </row>
    <row r="738" customFormat="false" ht="14.25" hidden="false" customHeight="true" outlineLevel="0" collapsed="false">
      <c r="A738" s="1"/>
      <c r="B738" s="1" t="s">
        <v>838</v>
      </c>
      <c r="C738" s="1" t="n">
        <v>21</v>
      </c>
      <c r="E738" s="11" t="s">
        <v>128</v>
      </c>
      <c r="F738" s="11" t="str">
        <f aca="false">IFERROR(__xludf.dummyfunction("GOOGLETRANSLATE(B738,""en"",""ar"")"),"الأسفل")</f>
        <v>الأسفل</v>
      </c>
      <c r="G738" s="3" t="n">
        <v>0</v>
      </c>
      <c r="H738" s="3" t="n">
        <v>0</v>
      </c>
    </row>
    <row r="739" customFormat="false" ht="14.25" hidden="false" customHeight="true" outlineLevel="0" collapsed="false">
      <c r="A739" s="1"/>
      <c r="B739" s="1" t="s">
        <v>839</v>
      </c>
      <c r="C739" s="1" t="n">
        <v>21</v>
      </c>
      <c r="E739" s="11" t="s">
        <v>12</v>
      </c>
      <c r="F739" s="11" t="str">
        <f aca="false">IFERROR(__xludf.dummyfunction("GOOGLETRANSLATE(B739,""en"",""ar"")"),"يبني")</f>
        <v>يبني</v>
      </c>
      <c r="G739" s="3" t="n">
        <v>0</v>
      </c>
      <c r="H739" s="3" t="n">
        <v>0</v>
      </c>
    </row>
    <row r="740" customFormat="false" ht="14.25" hidden="false" customHeight="true" outlineLevel="0" collapsed="false">
      <c r="A740" s="1"/>
      <c r="B740" s="1" t="s">
        <v>840</v>
      </c>
      <c r="C740" s="1" t="n">
        <v>21</v>
      </c>
      <c r="E740" s="11" t="s">
        <v>148</v>
      </c>
      <c r="F740" s="11" t="str">
        <f aca="false">IFERROR(__xludf.dummyfunction("GOOGLETRANSLATE(B740,""en"",""ar"")"),"خيار")</f>
        <v>خيار</v>
      </c>
      <c r="G740" s="3" t="n">
        <v>0</v>
      </c>
      <c r="H740" s="3" t="n">
        <v>0</v>
      </c>
    </row>
    <row r="741" customFormat="false" ht="14.25" hidden="false" customHeight="true" outlineLevel="0" collapsed="false">
      <c r="A741" s="1"/>
      <c r="B741" s="1" t="s">
        <v>841</v>
      </c>
      <c r="C741" s="1" t="n">
        <v>21</v>
      </c>
      <c r="E741" s="11" t="s">
        <v>79</v>
      </c>
      <c r="F741" s="11" t="str">
        <f aca="false">IFERROR(__xludf.dummyfunction("GOOGLETRANSLATE(B741,""en"",""ar"")"),"التعليم")</f>
        <v>التعليم</v>
      </c>
      <c r="G741" s="3" t="n">
        <v>0</v>
      </c>
      <c r="H741" s="3" t="n">
        <v>0</v>
      </c>
    </row>
    <row r="742" customFormat="false" ht="14.25" hidden="false" customHeight="true" outlineLevel="0" collapsed="false">
      <c r="A742" s="1"/>
      <c r="B742" s="1" t="s">
        <v>842</v>
      </c>
      <c r="C742" s="1" t="n">
        <v>21</v>
      </c>
      <c r="E742" s="11" t="s">
        <v>119</v>
      </c>
      <c r="F742" s="11" t="str">
        <f aca="false">IFERROR(__xludf.dummyfunction("GOOGLETRANSLATE(B742,""en"",""ar"")"),"هدية مجانية")</f>
        <v>هدية مجانية</v>
      </c>
      <c r="G742" s="3" t="n">
        <v>0</v>
      </c>
      <c r="H742" s="3" t="n">
        <v>0</v>
      </c>
    </row>
    <row r="743" customFormat="false" ht="14.25" hidden="false" customHeight="true" outlineLevel="0" collapsed="false">
      <c r="A743" s="1"/>
      <c r="B743" s="1" t="s">
        <v>843</v>
      </c>
      <c r="C743" s="1" t="n">
        <v>21</v>
      </c>
      <c r="E743" s="11" t="s">
        <v>119</v>
      </c>
      <c r="F743" s="11" t="str">
        <f aca="false">IFERROR(__xludf.dummyfunction("GOOGLETRANSLATE(B743,""en"",""ar"")"),"تأثير")</f>
        <v>تأثير</v>
      </c>
      <c r="G743" s="3" t="n">
        <v>0</v>
      </c>
      <c r="H743" s="3" t="n">
        <v>0</v>
      </c>
    </row>
    <row r="744" customFormat="false" ht="14.25" hidden="false" customHeight="true" outlineLevel="0" collapsed="false">
      <c r="A744" s="1"/>
      <c r="B744" s="1" t="s">
        <v>844</v>
      </c>
      <c r="C744" s="1" t="n">
        <v>21</v>
      </c>
      <c r="E744" s="11" t="s">
        <v>119</v>
      </c>
      <c r="F744" s="11" t="str">
        <f aca="false">IFERROR(__xludf.dummyfunction("GOOGLETRANSLATE(B744,""en"",""ar"")"),"آلة")</f>
        <v>آلة</v>
      </c>
      <c r="G744" s="3" t="n">
        <v>0</v>
      </c>
      <c r="H744" s="3" t="n">
        <v>0</v>
      </c>
    </row>
    <row r="745" customFormat="false" ht="14.25" hidden="false" customHeight="true" outlineLevel="0" collapsed="false">
      <c r="A745" s="1"/>
      <c r="B745" s="1" t="s">
        <v>845</v>
      </c>
      <c r="C745" s="1" t="n">
        <v>21</v>
      </c>
      <c r="E745" s="11" t="s">
        <v>79</v>
      </c>
      <c r="F745" s="11" t="str">
        <f aca="false">IFERROR(__xludf.dummyfunction("GOOGLETRANSLATE(B745,""en"",""ar"")"),"الرياضيات")</f>
        <v>الرياضيات</v>
      </c>
      <c r="G745" s="3" t="n">
        <v>0</v>
      </c>
      <c r="H745" s="3" t="n">
        <v>0</v>
      </c>
    </row>
    <row r="746" customFormat="false" ht="14.25" hidden="false" customHeight="true" outlineLevel="0" collapsed="false">
      <c r="A746" s="1"/>
      <c r="B746" s="1" t="s">
        <v>846</v>
      </c>
      <c r="C746" s="1" t="n">
        <v>21</v>
      </c>
      <c r="E746" s="11" t="s">
        <v>79</v>
      </c>
      <c r="F746" s="11" t="str">
        <f aca="false">IFERROR(__xludf.dummyfunction("GOOGLETRANSLATE(B746,""en"",""ar"")"),"الوقت الحاضر")</f>
        <v>الوقت الحاضر</v>
      </c>
      <c r="G746" s="3" t="n">
        <v>0</v>
      </c>
      <c r="H746" s="3" t="n">
        <v>0</v>
      </c>
    </row>
    <row r="747" customFormat="false" ht="14.25" hidden="false" customHeight="true" outlineLevel="0" collapsed="false">
      <c r="A747" s="1"/>
      <c r="B747" s="1" t="s">
        <v>847</v>
      </c>
      <c r="C747" s="1" t="n">
        <v>21</v>
      </c>
      <c r="E747" s="11" t="s">
        <v>79</v>
      </c>
      <c r="F747" s="11" t="str">
        <f aca="false">IFERROR(__xludf.dummyfunction("GOOGLETRANSLATE(B747,""en"",""ar"")"),"لوحة")</f>
        <v>لوحة</v>
      </c>
      <c r="G747" s="3" t="n">
        <v>0</v>
      </c>
      <c r="H747" s="3" t="n">
        <v>0</v>
      </c>
    </row>
    <row r="748" customFormat="false" ht="14.25" hidden="false" customHeight="true" outlineLevel="0" collapsed="false">
      <c r="A748" s="1"/>
      <c r="B748" s="1" t="s">
        <v>848</v>
      </c>
      <c r="C748" s="1" t="n">
        <v>21</v>
      </c>
      <c r="E748" s="11" t="s">
        <v>79</v>
      </c>
      <c r="F748" s="11" t="str">
        <f aca="false">IFERROR(__xludf.dummyfunction("GOOGLETRANSLATE(B748,""en"",""ar"")"),"سياسة")</f>
        <v>سياسة</v>
      </c>
      <c r="G748" s="3" t="n">
        <v>0</v>
      </c>
      <c r="H748" s="3" t="n">
        <v>0</v>
      </c>
    </row>
    <row r="749" customFormat="false" ht="14.25" hidden="false" customHeight="true" outlineLevel="0" collapsed="false">
      <c r="A749" s="1"/>
      <c r="B749" s="1" t="s">
        <v>849</v>
      </c>
      <c r="C749" s="1" t="n">
        <v>21</v>
      </c>
      <c r="E749" s="11" t="s">
        <v>119</v>
      </c>
      <c r="F749" s="11" t="str">
        <f aca="false">IFERROR(__xludf.dummyfunction("GOOGLETRANSLATE(B749,""en"",""ar"")"),"شكل")</f>
        <v>شكل</v>
      </c>
      <c r="G749" s="3" t="n">
        <v>0</v>
      </c>
      <c r="H749" s="3" t="n">
        <v>0</v>
      </c>
    </row>
    <row r="750" customFormat="false" ht="14.25" hidden="false" customHeight="true" outlineLevel="0" collapsed="false">
      <c r="A750" s="1"/>
      <c r="B750" s="1" t="s">
        <v>850</v>
      </c>
      <c r="C750" s="1" t="n">
        <v>21</v>
      </c>
      <c r="E750" s="11" t="s">
        <v>336</v>
      </c>
      <c r="F750" s="11" t="str">
        <f aca="false">IFERROR(__xludf.dummyfunction("GOOGLETRANSLATE(B750,""en"",""ar"")"),"مستقيم")</f>
        <v>مستقيم</v>
      </c>
      <c r="G750" s="3" t="n">
        <v>0</v>
      </c>
      <c r="H750" s="3" t="n">
        <v>0</v>
      </c>
    </row>
    <row r="751" customFormat="false" ht="14.25" hidden="false" customHeight="true" outlineLevel="0" collapsed="false">
      <c r="A751" s="1"/>
      <c r="B751" s="1" t="s">
        <v>851</v>
      </c>
      <c r="C751" s="1" t="n">
        <v>21</v>
      </c>
      <c r="E751" s="11" t="s">
        <v>119</v>
      </c>
      <c r="F751" s="11" t="str">
        <f aca="false">IFERROR(__xludf.dummyfunction("GOOGLETRANSLATE(B751,""en"",""ar"")"),"أداة")</f>
        <v>أداة</v>
      </c>
      <c r="G751" s="3" t="n">
        <v>0</v>
      </c>
      <c r="H751" s="3" t="n">
        <v>0</v>
      </c>
    </row>
    <row r="752" customFormat="false" ht="14.25" hidden="false" customHeight="true" outlineLevel="0" collapsed="false">
      <c r="A752" s="1"/>
      <c r="B752" s="1" t="s">
        <v>852</v>
      </c>
      <c r="C752" s="1" t="n">
        <v>21</v>
      </c>
      <c r="E752" s="11" t="s">
        <v>94</v>
      </c>
      <c r="F752" s="11" t="str">
        <f aca="false">IFERROR(__xludf.dummyfunction("GOOGLETRANSLATE(B752,""en"",""ar"")"),"يمشي")</f>
        <v>يمشي</v>
      </c>
      <c r="G752" s="3" t="n">
        <v>0</v>
      </c>
      <c r="H752" s="3" t="n">
        <v>0</v>
      </c>
    </row>
    <row r="753" customFormat="false" ht="14.25" hidden="false" customHeight="true" outlineLevel="0" collapsed="false">
      <c r="A753" s="1"/>
      <c r="B753" s="1" t="s">
        <v>853</v>
      </c>
      <c r="C753" s="1" t="n">
        <v>21</v>
      </c>
      <c r="E753" s="11" t="s">
        <v>405</v>
      </c>
      <c r="F753" s="11" t="str">
        <f aca="false">IFERROR(__xludf.dummyfunction("GOOGLETRANSLATE(B753,""en"",""ar"")"),"أبيض")</f>
        <v>أبيض</v>
      </c>
      <c r="G753" s="3" t="n">
        <v>0</v>
      </c>
      <c r="H753" s="3" t="n">
        <v>0</v>
      </c>
    </row>
    <row r="754" customFormat="false" ht="14.25" hidden="false" customHeight="true" outlineLevel="0" collapsed="false">
      <c r="A754" s="1"/>
      <c r="B754" s="1" t="s">
        <v>854</v>
      </c>
      <c r="C754" s="1" t="n">
        <v>21</v>
      </c>
      <c r="E754" s="11" t="s">
        <v>119</v>
      </c>
      <c r="F754" s="11" t="str">
        <f aca="false">IFERROR(__xludf.dummyfunction("GOOGLETRANSLATE(B754,""en"",""ar"")"),"ريح")</f>
        <v>ريح</v>
      </c>
      <c r="G754" s="3" t="n">
        <v>0</v>
      </c>
      <c r="H754" s="3" t="n">
        <v>0</v>
      </c>
    </row>
    <row r="755" customFormat="false" ht="14.25" hidden="false" customHeight="true" outlineLevel="0" collapsed="false">
      <c r="A755" s="1"/>
      <c r="B755" s="1" t="s">
        <v>855</v>
      </c>
      <c r="C755" s="1" t="n">
        <v>20</v>
      </c>
      <c r="E755" s="11" t="s">
        <v>12</v>
      </c>
      <c r="F755" s="11" t="str">
        <f aca="false">IFERROR(__xludf.dummyfunction("GOOGLETRANSLATE(B755,""en"",""ar"")"),"التوصل")</f>
        <v>التوصل</v>
      </c>
      <c r="G755" s="3" t="n">
        <v>0</v>
      </c>
      <c r="H755" s="3" t="n">
        <v>0</v>
      </c>
    </row>
    <row r="756" customFormat="false" ht="14.25" hidden="false" customHeight="true" outlineLevel="0" collapsed="false">
      <c r="A756" s="1"/>
      <c r="B756" s="1" t="s">
        <v>856</v>
      </c>
      <c r="C756" s="1" t="n">
        <v>20</v>
      </c>
      <c r="E756" s="11" t="s">
        <v>119</v>
      </c>
      <c r="F756" s="11" t="str">
        <f aca="false">IFERROR(__xludf.dummyfunction("GOOGLETRANSLATE(B756,""en"",""ar"")"),"عنوان")</f>
        <v>عنوان</v>
      </c>
      <c r="G756" s="3" t="n">
        <v>0</v>
      </c>
      <c r="H756" s="3" t="n">
        <v>0</v>
      </c>
    </row>
    <row r="757" customFormat="false" ht="14.25" hidden="false" customHeight="true" outlineLevel="0" collapsed="false">
      <c r="A757" s="1"/>
      <c r="B757" s="1" t="s">
        <v>857</v>
      </c>
      <c r="C757" s="1" t="n">
        <v>20</v>
      </c>
      <c r="E757" s="11" t="s">
        <v>79</v>
      </c>
      <c r="F757" s="11" t="str">
        <f aca="false">IFERROR(__xludf.dummyfunction("GOOGLETRANSLATE(B757,""en"",""ar"")"),"الانتباه")</f>
        <v>الانتباه</v>
      </c>
      <c r="G757" s="3" t="n">
        <v>0</v>
      </c>
      <c r="H757" s="3" t="n">
        <v>0</v>
      </c>
    </row>
    <row r="758" customFormat="false" ht="14.25" hidden="false" customHeight="true" outlineLevel="0" collapsed="false">
      <c r="A758" s="1"/>
      <c r="B758" s="1" t="s">
        <v>858</v>
      </c>
      <c r="C758" s="1" t="n">
        <v>20</v>
      </c>
      <c r="E758" s="11" t="s">
        <v>128</v>
      </c>
      <c r="F758" s="11" t="str">
        <f aca="false">IFERROR(__xludf.dummyfunction("GOOGLETRANSLATE(B758,""en"",""ar"")"),"معدل")</f>
        <v>معدل</v>
      </c>
      <c r="G758" s="3" t="n">
        <v>0</v>
      </c>
      <c r="H758" s="3" t="n">
        <v>0</v>
      </c>
    </row>
    <row r="759" customFormat="false" ht="14.25" hidden="false" customHeight="true" outlineLevel="0" collapsed="false">
      <c r="A759" s="1"/>
      <c r="B759" s="1" t="s">
        <v>859</v>
      </c>
      <c r="C759" s="1" t="n">
        <v>20</v>
      </c>
      <c r="E759" s="11" t="s">
        <v>12</v>
      </c>
      <c r="F759" s="11" t="str">
        <f aca="false">IFERROR(__xludf.dummyfunction("GOOGLETRANSLATE(B759,""en"",""ar"")"),"يصدق")</f>
        <v>يصدق</v>
      </c>
      <c r="G759" s="3" t="n">
        <v>0</v>
      </c>
      <c r="H759" s="3" t="n">
        <v>0</v>
      </c>
    </row>
    <row r="760" customFormat="false" ht="14.25" hidden="false" customHeight="true" outlineLevel="0" collapsed="false">
      <c r="A760" s="1"/>
      <c r="B760" s="1" t="s">
        <v>860</v>
      </c>
      <c r="C760" s="1" t="n">
        <v>20</v>
      </c>
      <c r="E760" s="11" t="s">
        <v>861</v>
      </c>
      <c r="F760" s="11" t="str">
        <f aca="false">IFERROR(__xludf.dummyfunction("GOOGLETRANSLATE(B760,""en"",""ar"")"),"وراء")</f>
        <v>وراء</v>
      </c>
      <c r="G760" s="3" t="n">
        <v>0</v>
      </c>
      <c r="H760" s="3" t="n">
        <v>0</v>
      </c>
    </row>
    <row r="761" customFormat="false" ht="14.25" hidden="false" customHeight="true" outlineLevel="0" collapsed="false">
      <c r="A761" s="1"/>
      <c r="B761" s="1" t="s">
        <v>862</v>
      </c>
      <c r="C761" s="1" t="n">
        <v>20</v>
      </c>
      <c r="E761" s="11" t="s">
        <v>128</v>
      </c>
      <c r="F761" s="11" t="str">
        <f aca="false">IFERROR(__xludf.dummyfunction("GOOGLETRANSLATE(B761,""en"",""ar"")"),"حياة مهنية")</f>
        <v>حياة مهنية</v>
      </c>
      <c r="G761" s="3" t="n">
        <v>0</v>
      </c>
      <c r="H761" s="3" t="n">
        <v>0</v>
      </c>
    </row>
    <row r="762" customFormat="false" ht="14.25" hidden="false" customHeight="true" outlineLevel="0" collapsed="false">
      <c r="A762" s="1"/>
      <c r="B762" s="1" t="s">
        <v>863</v>
      </c>
      <c r="C762" s="1" t="n">
        <v>20</v>
      </c>
      <c r="E762" s="11" t="s">
        <v>119</v>
      </c>
      <c r="F762" s="11" t="str">
        <f aca="false">IFERROR(__xludf.dummyfunction("GOOGLETRANSLATE(B762,""en"",""ar"")"),"حضاره")</f>
        <v>حضاره</v>
      </c>
      <c r="G762" s="3" t="n">
        <v>0</v>
      </c>
      <c r="H762" s="3" t="n">
        <v>0</v>
      </c>
    </row>
    <row r="763" customFormat="false" ht="14.25" hidden="false" customHeight="true" outlineLevel="0" collapsed="false">
      <c r="A763" s="1"/>
      <c r="B763" s="1" t="s">
        <v>864</v>
      </c>
      <c r="C763" s="1" t="n">
        <v>20</v>
      </c>
      <c r="E763" s="11" t="s">
        <v>79</v>
      </c>
      <c r="F763" s="11" t="str">
        <f aca="false">IFERROR(__xludf.dummyfunction("GOOGLETRANSLATE(B763,""en"",""ar"")"),"قرار")</f>
        <v>قرار</v>
      </c>
      <c r="G763" s="3" t="n">
        <v>0</v>
      </c>
      <c r="H763" s="3" t="n">
        <v>0</v>
      </c>
    </row>
    <row r="764" customFormat="false" ht="14.25" hidden="false" customHeight="true" outlineLevel="0" collapsed="false">
      <c r="A764" s="1"/>
      <c r="B764" s="1" t="s">
        <v>865</v>
      </c>
      <c r="C764" s="1" t="n">
        <v>20</v>
      </c>
      <c r="E764" s="11" t="s">
        <v>199</v>
      </c>
      <c r="F764" s="11" t="str">
        <f aca="false">IFERROR(__xludf.dummyfunction("GOOGLETRANSLATE(B764,""en"",""ar"")"),"مباشرة")</f>
        <v>مباشرة</v>
      </c>
      <c r="G764" s="3" t="n">
        <v>0</v>
      </c>
      <c r="H764" s="3" t="n">
        <v>0</v>
      </c>
    </row>
    <row r="765" customFormat="false" ht="14.25" hidden="false" customHeight="true" outlineLevel="0" collapsed="false">
      <c r="A765" s="1"/>
      <c r="B765" s="1" t="s">
        <v>866</v>
      </c>
      <c r="C765" s="1" t="n">
        <v>20</v>
      </c>
      <c r="E765" s="11" t="s">
        <v>79</v>
      </c>
      <c r="F765" s="11" t="str">
        <f aca="false">IFERROR(__xludf.dummyfunction("GOOGLETRANSLATE(B765,""en"",""ar"")"),"حدث")</f>
        <v>حدث</v>
      </c>
      <c r="G765" s="3" t="n">
        <v>0</v>
      </c>
      <c r="H765" s="3" t="n">
        <v>0</v>
      </c>
    </row>
    <row r="766" customFormat="false" ht="14.25" hidden="false" customHeight="true" outlineLevel="0" collapsed="false">
      <c r="A766" s="1"/>
      <c r="B766" s="1" t="s">
        <v>867</v>
      </c>
      <c r="C766" s="1" t="n">
        <v>20</v>
      </c>
      <c r="E766" s="11" t="s">
        <v>868</v>
      </c>
      <c r="F766" s="11" t="str">
        <f aca="false">IFERROR(__xludf.dummyfunction("GOOGLETRANSLATE(B766,""en"",""ar"")"),"ممتاز")</f>
        <v>ممتاز</v>
      </c>
      <c r="G766" s="3" t="n">
        <v>0</v>
      </c>
      <c r="H766" s="3" t="n">
        <v>0</v>
      </c>
    </row>
    <row r="767" customFormat="false" ht="14.25" hidden="false" customHeight="true" outlineLevel="0" collapsed="false">
      <c r="A767" s="1"/>
      <c r="B767" s="1" t="s">
        <v>869</v>
      </c>
      <c r="C767" s="1" t="n">
        <v>20</v>
      </c>
      <c r="E767" s="11" t="s">
        <v>336</v>
      </c>
      <c r="F767" s="11" t="str">
        <f aca="false">IFERROR(__xludf.dummyfunction("GOOGLETRANSLATE(B767,""en"",""ar"")"),"إضافي")</f>
        <v>إضافي</v>
      </c>
      <c r="G767" s="3" t="n">
        <v>0</v>
      </c>
      <c r="H767" s="3" t="n">
        <v>0</v>
      </c>
    </row>
    <row r="768" customFormat="false" ht="14.25" hidden="false" customHeight="true" outlineLevel="0" collapsed="false">
      <c r="A768" s="1"/>
      <c r="B768" s="1" t="s">
        <v>870</v>
      </c>
      <c r="C768" s="1" t="n">
        <v>20</v>
      </c>
      <c r="E768" s="11" t="s">
        <v>112</v>
      </c>
      <c r="F768" s="11" t="str">
        <f aca="false">IFERROR(__xludf.dummyfunction("GOOGLETRANSLATE(B768,""en"",""ar"")"),"ذكي")</f>
        <v>ذكي</v>
      </c>
      <c r="G768" s="3" t="n">
        <v>0</v>
      </c>
      <c r="H768" s="3" t="n">
        <v>0</v>
      </c>
    </row>
    <row r="769" customFormat="false" ht="14.25" hidden="false" customHeight="true" outlineLevel="0" collapsed="false">
      <c r="A769" s="1"/>
      <c r="B769" s="1" t="s">
        <v>871</v>
      </c>
      <c r="C769" s="1" t="n">
        <v>20</v>
      </c>
      <c r="E769" s="11" t="s">
        <v>112</v>
      </c>
      <c r="F769" s="11" t="str">
        <f aca="false">IFERROR(__xludf.dummyfunction("GOOGLETRANSLATE(B769,""en"",""ar"")"),"مثير للإعجاب")</f>
        <v>مثير للإعجاب</v>
      </c>
      <c r="G769" s="3" t="n">
        <v>0</v>
      </c>
      <c r="H769" s="3" t="n">
        <v>0</v>
      </c>
    </row>
    <row r="770" customFormat="false" ht="14.25" hidden="false" customHeight="true" outlineLevel="0" collapsed="false">
      <c r="A770" s="1"/>
      <c r="B770" s="1" t="s">
        <v>872</v>
      </c>
      <c r="C770" s="1" t="n">
        <v>20</v>
      </c>
      <c r="E770" s="11" t="s">
        <v>235</v>
      </c>
      <c r="F770" s="11" t="str">
        <f aca="false">IFERROR(__xludf.dummyfunction("GOOGLETRANSLATE(B770,""en"",""ar"")"),"نجارة")</f>
        <v>نجارة</v>
      </c>
      <c r="G770" s="3" t="n">
        <v>0</v>
      </c>
      <c r="H770" s="3" t="n">
        <v>0</v>
      </c>
    </row>
    <row r="771" customFormat="false" ht="14.25" hidden="false" customHeight="true" outlineLevel="0" collapsed="false">
      <c r="A771" s="1"/>
      <c r="B771" s="1" t="s">
        <v>873</v>
      </c>
      <c r="C771" s="1" t="n">
        <v>20</v>
      </c>
      <c r="E771" s="11" t="s">
        <v>786</v>
      </c>
      <c r="F771" s="11" t="str">
        <f aca="false">IFERROR(__xludf.dummyfunction("GOOGLETRANSLATE(B771,""en"",""ar"")"),"صباح")</f>
        <v>صباح</v>
      </c>
      <c r="G771" s="3" t="n">
        <v>0</v>
      </c>
      <c r="H771" s="3" t="n">
        <v>0</v>
      </c>
    </row>
    <row r="772" customFormat="false" ht="14.25" hidden="false" customHeight="true" outlineLevel="0" collapsed="false">
      <c r="A772" s="1"/>
      <c r="B772" s="1" t="s">
        <v>874</v>
      </c>
      <c r="C772" s="1" t="n">
        <v>20</v>
      </c>
      <c r="E772" s="11" t="s">
        <v>94</v>
      </c>
      <c r="F772" s="11" t="str">
        <f aca="false">IFERROR(__xludf.dummyfunction("GOOGLETRANSLATE(B772,""en"",""ar"")"),"قطف او يقطف")</f>
        <v>قطف او يقطف</v>
      </c>
      <c r="G772" s="3" t="n">
        <v>0</v>
      </c>
      <c r="H772" s="3" t="n">
        <v>0</v>
      </c>
    </row>
    <row r="773" customFormat="false" ht="14.25" hidden="false" customHeight="true" outlineLevel="0" collapsed="false">
      <c r="A773" s="1"/>
      <c r="B773" s="1" t="s">
        <v>875</v>
      </c>
      <c r="C773" s="1" t="n">
        <v>20</v>
      </c>
      <c r="E773" s="11" t="s">
        <v>112</v>
      </c>
      <c r="F773" s="11" t="str">
        <f aca="false">IFERROR(__xludf.dummyfunction("GOOGLETRANSLATE(B773,""en"",""ar"")"),"مسكين")</f>
        <v>مسكين</v>
      </c>
      <c r="G773" s="3" t="n">
        <v>0</v>
      </c>
      <c r="H773" s="3" t="n">
        <v>0</v>
      </c>
    </row>
    <row r="774" customFormat="false" ht="14.25" hidden="false" customHeight="true" outlineLevel="0" collapsed="false">
      <c r="A774" s="1"/>
      <c r="B774" s="1" t="s">
        <v>876</v>
      </c>
      <c r="C774" s="1" t="n">
        <v>20</v>
      </c>
      <c r="E774" s="11" t="s">
        <v>119</v>
      </c>
      <c r="F774" s="11" t="str">
        <f aca="false">IFERROR(__xludf.dummyfunction("GOOGLETRANSLATE(B774,""en"",""ar"")"),"وعاء")</f>
        <v>وعاء</v>
      </c>
      <c r="G774" s="3" t="n">
        <v>0</v>
      </c>
      <c r="H774" s="3" t="n">
        <v>0</v>
      </c>
    </row>
    <row r="775" customFormat="false" ht="14.25" hidden="false" customHeight="true" outlineLevel="0" collapsed="false">
      <c r="A775" s="1"/>
      <c r="B775" s="1" t="s">
        <v>877</v>
      </c>
      <c r="C775" s="1" t="n">
        <v>20</v>
      </c>
      <c r="E775" s="11" t="s">
        <v>205</v>
      </c>
      <c r="F775" s="11" t="str">
        <f aca="false">IFERROR(__xludf.dummyfunction("GOOGLETRANSLATE(B775,""en"",""ar"")"),"جميلة")</f>
        <v>جميلة</v>
      </c>
      <c r="G775" s="3" t="n">
        <v>0</v>
      </c>
      <c r="H775" s="3" t="n">
        <v>0</v>
      </c>
    </row>
    <row r="776" customFormat="false" ht="14.25" hidden="false" customHeight="true" outlineLevel="0" collapsed="false">
      <c r="A776" s="1"/>
      <c r="B776" s="1" t="s">
        <v>878</v>
      </c>
      <c r="C776" s="1" t="n">
        <v>20</v>
      </c>
      <c r="E776" s="11" t="s">
        <v>79</v>
      </c>
      <c r="F776" s="11" t="str">
        <f aca="false">IFERROR(__xludf.dummyfunction("GOOGLETRANSLATE(B776,""en"",""ar"")"),"منشأه")</f>
        <v>منشأه</v>
      </c>
      <c r="G776" s="3" t="n">
        <v>0</v>
      </c>
      <c r="H776" s="3" t="n">
        <v>0</v>
      </c>
    </row>
    <row r="777" customFormat="false" ht="14.25" hidden="false" customHeight="true" outlineLevel="0" collapsed="false">
      <c r="A777" s="1"/>
      <c r="B777" s="1" t="s">
        <v>879</v>
      </c>
      <c r="C777" s="1" t="n">
        <v>20</v>
      </c>
      <c r="E777" s="11" t="s">
        <v>12</v>
      </c>
      <c r="F777" s="11" t="str">
        <f aca="false">IFERROR(__xludf.dummyfunction("GOOGLETRANSLATE(B777,""en"",""ar"")"),"تسلم")</f>
        <v>تسلم</v>
      </c>
      <c r="G777" s="3" t="n">
        <v>0</v>
      </c>
      <c r="H777" s="3" t="n">
        <v>0</v>
      </c>
    </row>
    <row r="778" customFormat="false" ht="14.25" hidden="false" customHeight="true" outlineLevel="0" collapsed="false">
      <c r="A778" s="1"/>
      <c r="B778" s="1" t="s">
        <v>880</v>
      </c>
      <c r="C778" s="1" t="n">
        <v>20</v>
      </c>
      <c r="E778" s="11" t="s">
        <v>12</v>
      </c>
      <c r="F778" s="11" t="str">
        <f aca="false">IFERROR(__xludf.dummyfunction("GOOGLETRANSLATE(B778,""en"",""ar"")"),"يبدو")</f>
        <v>يبدو</v>
      </c>
      <c r="G778" s="3" t="n">
        <v>0</v>
      </c>
      <c r="H778" s="3" t="n">
        <v>0</v>
      </c>
    </row>
    <row r="779" customFormat="false" ht="14.25" hidden="false" customHeight="true" outlineLevel="0" collapsed="false">
      <c r="A779" s="1"/>
      <c r="B779" s="1" t="s">
        <v>881</v>
      </c>
      <c r="C779" s="1" t="n">
        <v>20</v>
      </c>
      <c r="E779" s="11" t="s">
        <v>79</v>
      </c>
      <c r="F779" s="11" t="str">
        <f aca="false">IFERROR(__xludf.dummyfunction("GOOGLETRANSLATE(B779,""en"",""ar"")"),"التسوق")</f>
        <v>التسوق</v>
      </c>
      <c r="G779" s="3" t="n">
        <v>0</v>
      </c>
      <c r="H779" s="3" t="n">
        <v>0</v>
      </c>
    </row>
    <row r="780" customFormat="false" ht="14.25" hidden="false" customHeight="true" outlineLevel="0" collapsed="false">
      <c r="A780" s="1"/>
      <c r="B780" s="1" t="s">
        <v>882</v>
      </c>
      <c r="C780" s="1" t="n">
        <v>20</v>
      </c>
      <c r="E780" s="11" t="s">
        <v>119</v>
      </c>
      <c r="F780" s="11" t="str">
        <f aca="false">IFERROR(__xludf.dummyfunction("GOOGLETRANSLATE(B780,""en"",""ar"")"),"لافتة")</f>
        <v>لافتة</v>
      </c>
      <c r="G780" s="3" t="n">
        <v>0</v>
      </c>
      <c r="H780" s="3" t="n">
        <v>0</v>
      </c>
    </row>
    <row r="781" customFormat="false" ht="14.25" hidden="false" customHeight="true" outlineLevel="0" collapsed="false">
      <c r="A781" s="1"/>
      <c r="B781" s="1" t="s">
        <v>883</v>
      </c>
      <c r="C781" s="1" t="n">
        <v>20</v>
      </c>
      <c r="E781" s="11" t="s">
        <v>79</v>
      </c>
      <c r="F781" s="11" t="str">
        <f aca="false">IFERROR(__xludf.dummyfunction("GOOGLETRANSLATE(B781,""en"",""ar"")"),"طالب علم")</f>
        <v>طالب علم</v>
      </c>
      <c r="G781" s="3" t="n">
        <v>0</v>
      </c>
      <c r="H781" s="3" t="n">
        <v>0</v>
      </c>
    </row>
    <row r="782" customFormat="false" ht="14.25" hidden="false" customHeight="true" outlineLevel="0" collapsed="false">
      <c r="A782" s="1"/>
      <c r="B782" s="1" t="s">
        <v>884</v>
      </c>
      <c r="C782" s="1" t="n">
        <v>20</v>
      </c>
      <c r="E782" s="11" t="s">
        <v>119</v>
      </c>
      <c r="F782" s="11" t="str">
        <f aca="false">IFERROR(__xludf.dummyfunction("GOOGLETRANSLATE(B782,""en"",""ar"")"),"الطاولة")</f>
        <v>الطاولة</v>
      </c>
      <c r="G782" s="3" t="n">
        <v>0</v>
      </c>
      <c r="H782" s="3" t="n">
        <v>0</v>
      </c>
    </row>
    <row r="783" customFormat="false" ht="14.25" hidden="false" customHeight="true" outlineLevel="0" collapsed="false">
      <c r="A783" s="1"/>
      <c r="B783" s="1" t="s">
        <v>885</v>
      </c>
      <c r="C783" s="1" t="n">
        <v>20</v>
      </c>
      <c r="E783" s="11" t="s">
        <v>119</v>
      </c>
      <c r="F783" s="11" t="str">
        <f aca="false">IFERROR(__xludf.dummyfunction("GOOGLETRANSLATE(B783,""en"",""ar"")"),"مهمة")</f>
        <v>مهمة</v>
      </c>
      <c r="G783" s="3" t="n">
        <v>0</v>
      </c>
      <c r="H783" s="3" t="n">
        <v>0</v>
      </c>
    </row>
    <row r="784" customFormat="false" ht="14.25" hidden="false" customHeight="true" outlineLevel="0" collapsed="false">
      <c r="A784" s="1"/>
      <c r="B784" s="1" t="s">
        <v>886</v>
      </c>
      <c r="C784" s="1" t="n">
        <v>20</v>
      </c>
      <c r="E784" s="11" t="s">
        <v>235</v>
      </c>
      <c r="F784" s="11" t="str">
        <f aca="false">IFERROR(__xludf.dummyfunction("GOOGLETRANSLATE(B784,""en"",""ar"")"),"فريدة من نوعها")</f>
        <v>فريدة من نوعها</v>
      </c>
      <c r="G784" s="3" t="n">
        <v>0</v>
      </c>
      <c r="H784" s="3" t="n">
        <v>0</v>
      </c>
    </row>
    <row r="785" customFormat="false" ht="14.25" hidden="false" customHeight="true" outlineLevel="0" collapsed="false">
      <c r="A785" s="1"/>
      <c r="B785" s="1" t="s">
        <v>887</v>
      </c>
      <c r="C785" s="1" t="n">
        <v>20</v>
      </c>
      <c r="E785" s="11" t="s">
        <v>79</v>
      </c>
      <c r="F785" s="11" t="str">
        <f aca="false">IFERROR(__xludf.dummyfunction("GOOGLETRANSLATE(B785,""en"",""ar"")"),"خشب")</f>
        <v>خشب</v>
      </c>
      <c r="G785" s="3" t="n">
        <v>0</v>
      </c>
      <c r="H785" s="3" t="n">
        <v>0</v>
      </c>
    </row>
    <row r="786" customFormat="false" ht="14.25" hidden="false" customHeight="true" outlineLevel="0" collapsed="false">
      <c r="A786" s="1"/>
      <c r="B786" s="1" t="s">
        <v>888</v>
      </c>
      <c r="C786" s="1" t="n">
        <v>19</v>
      </c>
      <c r="E786" s="11" t="s">
        <v>889</v>
      </c>
      <c r="F786" s="11" t="str">
        <f aca="false">IFERROR(__xludf.dummyfunction("GOOGLETRANSLATE(B786,""en"",""ar"")"),"اى شى")</f>
        <v>اى شى</v>
      </c>
      <c r="G786" s="3" t="n">
        <v>0</v>
      </c>
      <c r="H786" s="3" t="n">
        <v>0</v>
      </c>
    </row>
    <row r="787" customFormat="false" ht="14.25" hidden="false" customHeight="true" outlineLevel="0" collapsed="false">
      <c r="A787" s="1"/>
      <c r="B787" s="1" t="s">
        <v>890</v>
      </c>
      <c r="C787" s="1" t="n">
        <v>19</v>
      </c>
      <c r="E787" s="11" t="s">
        <v>235</v>
      </c>
      <c r="F787" s="11" t="str">
        <f aca="false">IFERROR(__xludf.dummyfunction("GOOGLETRANSLATE(B787,""en"",""ar"")"),"كلاسيكي")</f>
        <v>كلاسيكي</v>
      </c>
      <c r="G787" s="3" t="n">
        <v>0</v>
      </c>
      <c r="H787" s="3" t="n">
        <v>0</v>
      </c>
    </row>
    <row r="788" customFormat="false" ht="14.25" hidden="false" customHeight="true" outlineLevel="0" collapsed="false">
      <c r="A788" s="1"/>
      <c r="B788" s="1" t="s">
        <v>891</v>
      </c>
      <c r="C788" s="1" t="n">
        <v>19</v>
      </c>
      <c r="E788" s="11" t="s">
        <v>79</v>
      </c>
      <c r="F788" s="11" t="str">
        <f aca="false">IFERROR(__xludf.dummyfunction("GOOGLETRANSLATE(B788,""en"",""ar"")"),"المنافسة")</f>
        <v>المنافسة</v>
      </c>
      <c r="G788" s="3" t="n">
        <v>0</v>
      </c>
      <c r="H788" s="3" t="n">
        <v>0</v>
      </c>
    </row>
    <row r="789" customFormat="false" ht="14.25" hidden="false" customHeight="true" outlineLevel="0" collapsed="false">
      <c r="A789" s="1"/>
      <c r="B789" s="1" t="s">
        <v>892</v>
      </c>
      <c r="C789" s="1" t="n">
        <v>19</v>
      </c>
      <c r="E789" s="11" t="s">
        <v>119</v>
      </c>
      <c r="F789" s="11" t="str">
        <f aca="false">IFERROR(__xludf.dummyfunction("GOOGLETRANSLATE(B789,""en"",""ar"")"),"شرط")</f>
        <v>شرط</v>
      </c>
      <c r="G789" s="3" t="n">
        <v>0</v>
      </c>
      <c r="H789" s="3" t="n">
        <v>0</v>
      </c>
    </row>
    <row r="790" customFormat="false" ht="14.25" hidden="false" customHeight="true" outlineLevel="0" collapsed="false">
      <c r="A790" s="1"/>
      <c r="B790" s="1" t="s">
        <v>893</v>
      </c>
      <c r="C790" s="1" t="n">
        <v>19</v>
      </c>
      <c r="E790" s="11" t="s">
        <v>119</v>
      </c>
      <c r="F790" s="11" t="str">
        <f aca="false">IFERROR(__xludf.dummyfunction("GOOGLETRANSLATE(B790,""en"",""ar"")"),"اتصل")</f>
        <v>اتصل</v>
      </c>
      <c r="G790" s="3" t="n">
        <v>0</v>
      </c>
      <c r="H790" s="3" t="n">
        <v>0</v>
      </c>
    </row>
    <row r="791" customFormat="false" ht="14.25" hidden="false" customHeight="true" outlineLevel="0" collapsed="false">
      <c r="A791" s="1"/>
      <c r="B791" s="1" t="s">
        <v>894</v>
      </c>
      <c r="C791" s="1" t="n">
        <v>19</v>
      </c>
      <c r="E791" s="11" t="s">
        <v>119</v>
      </c>
      <c r="F791" s="11" t="str">
        <f aca="false">IFERROR(__xludf.dummyfunction("GOOGLETRANSLATE(B791,""en"",""ar"")"),"الإئتمان")</f>
        <v>الإئتمان</v>
      </c>
      <c r="G791" s="3" t="n">
        <v>0</v>
      </c>
      <c r="H791" s="3" t="n">
        <v>0</v>
      </c>
    </row>
    <row r="792" customFormat="false" ht="14.25" hidden="false" customHeight="true" outlineLevel="0" collapsed="false">
      <c r="A792" s="1"/>
      <c r="B792" s="1" t="s">
        <v>895</v>
      </c>
      <c r="C792" s="1" t="n">
        <v>19</v>
      </c>
      <c r="E792" s="11" t="s">
        <v>42</v>
      </c>
      <c r="F792" s="11" t="str">
        <f aca="false">IFERROR(__xludf.dummyfunction("GOOGLETRANSLATE(B792,""en"",""ar"")"),"حاليا")</f>
        <v>حاليا</v>
      </c>
      <c r="G792" s="3" t="n">
        <v>0</v>
      </c>
      <c r="H792" s="3" t="n">
        <v>0</v>
      </c>
    </row>
    <row r="793" customFormat="false" ht="14.25" hidden="false" customHeight="true" outlineLevel="0" collapsed="false">
      <c r="A793" s="1"/>
      <c r="B793" s="1" t="s">
        <v>896</v>
      </c>
      <c r="C793" s="1" t="n">
        <v>19</v>
      </c>
      <c r="E793" s="11" t="s">
        <v>12</v>
      </c>
      <c r="F793" s="11" t="str">
        <f aca="false">IFERROR(__xludf.dummyfunction("GOOGLETRANSLATE(B793,""en"",""ar"")"),"مناقشة")</f>
        <v>مناقشة</v>
      </c>
      <c r="G793" s="3" t="n">
        <v>0</v>
      </c>
      <c r="H793" s="3" t="n">
        <v>0</v>
      </c>
    </row>
    <row r="794" customFormat="false" ht="14.25" hidden="false" customHeight="true" outlineLevel="0" collapsed="false">
      <c r="A794" s="1"/>
      <c r="B794" s="1" t="s">
        <v>897</v>
      </c>
      <c r="C794" s="1" t="n">
        <v>19</v>
      </c>
      <c r="E794" s="11" t="s">
        <v>79</v>
      </c>
      <c r="F794" s="11" t="str">
        <f aca="false">IFERROR(__xludf.dummyfunction("GOOGLETRANSLATE(B794,""en"",""ar"")"),"توزيع")</f>
        <v>توزيع</v>
      </c>
      <c r="G794" s="3" t="n">
        <v>0</v>
      </c>
      <c r="H794" s="3" t="n">
        <v>0</v>
      </c>
    </row>
    <row r="795" customFormat="false" ht="14.25" hidden="false" customHeight="true" outlineLevel="0" collapsed="false">
      <c r="A795" s="1"/>
      <c r="B795" s="1" t="s">
        <v>898</v>
      </c>
      <c r="C795" s="1" t="n">
        <v>19</v>
      </c>
      <c r="E795" s="11" t="s">
        <v>119</v>
      </c>
      <c r="F795" s="11" t="str">
        <f aca="false">IFERROR(__xludf.dummyfunction("GOOGLETRANSLATE(B795,""en"",""ar"")"),"بيضة")</f>
        <v>بيضة</v>
      </c>
      <c r="G795" s="3" t="n">
        <v>0</v>
      </c>
      <c r="H795" s="3" t="n">
        <v>0</v>
      </c>
    </row>
    <row r="796" customFormat="false" ht="14.25" hidden="false" customHeight="true" outlineLevel="0" collapsed="false">
      <c r="A796" s="1"/>
      <c r="B796" s="1" t="s">
        <v>899</v>
      </c>
      <c r="C796" s="1" t="n">
        <v>19</v>
      </c>
      <c r="E796" s="11" t="s">
        <v>79</v>
      </c>
      <c r="F796" s="11" t="str">
        <f aca="false">IFERROR(__xludf.dummyfunction("GOOGLETRANSLATE(B796,""en"",""ar"")"),"وسائل الترفيه")</f>
        <v>وسائل الترفيه</v>
      </c>
      <c r="G796" s="3" t="n">
        <v>0</v>
      </c>
      <c r="H796" s="3" t="n">
        <v>0</v>
      </c>
    </row>
    <row r="797" customFormat="false" ht="14.25" hidden="false" customHeight="true" outlineLevel="0" collapsed="false">
      <c r="A797" s="1"/>
      <c r="B797" s="1" t="s">
        <v>900</v>
      </c>
      <c r="C797" s="1" t="n">
        <v>19</v>
      </c>
      <c r="E797" s="11" t="s">
        <v>235</v>
      </c>
      <c r="F797" s="11" t="str">
        <f aca="false">IFERROR(__xludf.dummyfunction("GOOGLETRANSLATE(B797,""en"",""ar"")"),"نهائي")</f>
        <v>نهائي</v>
      </c>
      <c r="G797" s="3" t="n">
        <v>0</v>
      </c>
      <c r="H797" s="3" t="n">
        <v>0</v>
      </c>
    </row>
    <row r="798" customFormat="false" ht="14.25" hidden="false" customHeight="true" outlineLevel="0" collapsed="false">
      <c r="A798" s="1"/>
      <c r="B798" s="1" t="s">
        <v>901</v>
      </c>
      <c r="C798" s="1" t="n">
        <v>19</v>
      </c>
      <c r="E798" s="11" t="s">
        <v>112</v>
      </c>
      <c r="F798" s="11" t="str">
        <f aca="false">IFERROR(__xludf.dummyfunction("GOOGLETRANSLATE(B798,""en"",""ar"")"),"سعيدة")</f>
        <v>سعيدة</v>
      </c>
      <c r="G798" s="3" t="n">
        <v>0</v>
      </c>
      <c r="H798" s="3" t="n">
        <v>0</v>
      </c>
    </row>
    <row r="799" customFormat="false" ht="14.25" hidden="false" customHeight="true" outlineLevel="0" collapsed="false">
      <c r="A799" s="1"/>
      <c r="B799" s="1" t="s">
        <v>902</v>
      </c>
      <c r="C799" s="1" t="n">
        <v>19</v>
      </c>
      <c r="E799" s="11" t="s">
        <v>119</v>
      </c>
      <c r="F799" s="11" t="str">
        <f aca="false">IFERROR(__xludf.dummyfunction("GOOGLETRANSLATE(B799,""en"",""ar"")"),"يأمل")</f>
        <v>يأمل</v>
      </c>
      <c r="G799" s="3" t="n">
        <v>0</v>
      </c>
      <c r="H799" s="3" t="n">
        <v>0</v>
      </c>
    </row>
    <row r="800" customFormat="false" ht="14.25" hidden="false" customHeight="true" outlineLevel="0" collapsed="false">
      <c r="A800" s="1"/>
      <c r="B800" s="1" t="s">
        <v>903</v>
      </c>
      <c r="C800" s="1" t="n">
        <v>19</v>
      </c>
      <c r="E800" s="11" t="s">
        <v>119</v>
      </c>
      <c r="F800" s="11" t="str">
        <f aca="false">IFERROR(__xludf.dummyfunction("GOOGLETRANSLATE(B800,""en"",""ar"")"),"جليد")</f>
        <v>جليد</v>
      </c>
      <c r="G800" s="3" t="n">
        <v>0</v>
      </c>
      <c r="H800" s="3" t="n">
        <v>0</v>
      </c>
    </row>
    <row r="801" customFormat="false" ht="14.25" hidden="false" customHeight="true" outlineLevel="0" collapsed="false">
      <c r="A801" s="1"/>
      <c r="B801" s="1" t="s">
        <v>904</v>
      </c>
      <c r="C801" s="1" t="n">
        <v>19</v>
      </c>
      <c r="E801" s="11" t="s">
        <v>94</v>
      </c>
      <c r="F801" s="11" t="str">
        <f aca="false">IFERROR(__xludf.dummyfunction("GOOGLETRANSLATE(B801,""en"",""ar"")"),"مصعد")</f>
        <v>مصعد</v>
      </c>
      <c r="G801" s="3" t="n">
        <v>0</v>
      </c>
      <c r="H801" s="3" t="n">
        <v>0</v>
      </c>
    </row>
    <row r="802" customFormat="false" ht="14.25" hidden="false" customHeight="true" outlineLevel="0" collapsed="false">
      <c r="A802" s="1"/>
      <c r="B802" s="1" t="s">
        <v>905</v>
      </c>
      <c r="C802" s="1" t="n">
        <v>19</v>
      </c>
      <c r="E802" s="11" t="s">
        <v>94</v>
      </c>
      <c r="F802" s="11" t="str">
        <f aca="false">IFERROR(__xludf.dummyfunction("GOOGLETRANSLATE(B802,""en"",""ar"")"),"مزج")</f>
        <v>مزج</v>
      </c>
      <c r="G802" s="3" t="n">
        <v>0</v>
      </c>
      <c r="H802" s="3" t="n">
        <v>0</v>
      </c>
    </row>
    <row r="803" customFormat="false" ht="14.25" hidden="false" customHeight="true" outlineLevel="0" collapsed="false">
      <c r="A803" s="1"/>
      <c r="B803" s="1" t="s">
        <v>906</v>
      </c>
      <c r="C803" s="1" t="n">
        <v>19</v>
      </c>
      <c r="E803" s="11" t="s">
        <v>119</v>
      </c>
      <c r="F803" s="11" t="str">
        <f aca="false">IFERROR(__xludf.dummyfunction("GOOGLETRANSLATE(B803,""en"",""ar"")"),"شبكة الاتصال")</f>
        <v>شبكة الاتصال</v>
      </c>
      <c r="G803" s="3" t="n">
        <v>0</v>
      </c>
      <c r="H803" s="3" t="n">
        <v>0</v>
      </c>
    </row>
    <row r="804" customFormat="false" ht="14.25" hidden="false" customHeight="true" outlineLevel="0" collapsed="false">
      <c r="A804" s="1"/>
      <c r="B804" s="1" t="s">
        <v>907</v>
      </c>
      <c r="C804" s="1" t="n">
        <v>19</v>
      </c>
      <c r="E804" s="11" t="s">
        <v>908</v>
      </c>
      <c r="F804" s="11" t="str">
        <f aca="false">IFERROR(__xludf.dummyfunction("GOOGLETRANSLATE(B804,""en"",""ar"")"),"شمال")</f>
        <v>شمال</v>
      </c>
      <c r="G804" s="3" t="n">
        <v>0</v>
      </c>
      <c r="H804" s="3" t="n">
        <v>0</v>
      </c>
    </row>
    <row r="805" customFormat="false" ht="14.25" hidden="false" customHeight="true" outlineLevel="0" collapsed="false">
      <c r="A805" s="1"/>
      <c r="B805" s="1" t="s">
        <v>909</v>
      </c>
      <c r="C805" s="1" t="n">
        <v>19</v>
      </c>
      <c r="E805" s="11" t="s">
        <v>79</v>
      </c>
      <c r="F805" s="11" t="str">
        <f aca="false">IFERROR(__xludf.dummyfunction("GOOGLETRANSLATE(B805,""en"",""ar"")"),"مكتب")</f>
        <v>مكتب</v>
      </c>
      <c r="G805" s="3" t="n">
        <v>0</v>
      </c>
      <c r="H805" s="3" t="n">
        <v>0</v>
      </c>
    </row>
    <row r="806" customFormat="false" ht="14.25" hidden="false" customHeight="true" outlineLevel="0" collapsed="false">
      <c r="A806" s="1"/>
      <c r="B806" s="1" t="s">
        <v>910</v>
      </c>
      <c r="C806" s="1" t="n">
        <v>19</v>
      </c>
      <c r="E806" s="11" t="s">
        <v>336</v>
      </c>
      <c r="F806" s="11" t="str">
        <f aca="false">IFERROR(__xludf.dummyfunction("GOOGLETRANSLATE(B806,""en"",""ar"")"),"شاملة")</f>
        <v>شاملة</v>
      </c>
      <c r="G806" s="3" t="n">
        <v>0</v>
      </c>
      <c r="H806" s="3" t="n">
        <v>0</v>
      </c>
    </row>
    <row r="807" customFormat="false" ht="14.25" hidden="false" customHeight="true" outlineLevel="0" collapsed="false">
      <c r="A807" s="1"/>
      <c r="B807" s="1" t="s">
        <v>911</v>
      </c>
      <c r="C807" s="1" t="n">
        <v>19</v>
      </c>
      <c r="E807" s="11" t="s">
        <v>79</v>
      </c>
      <c r="F807" s="11" t="str">
        <f aca="false">IFERROR(__xludf.dummyfunction("GOOGLETRANSLATE(B807,""en"",""ar"")"),"تعداد السكان")</f>
        <v>تعداد السكان</v>
      </c>
      <c r="G807" s="3" t="n">
        <v>0</v>
      </c>
      <c r="H807" s="3" t="n">
        <v>0</v>
      </c>
    </row>
    <row r="808" customFormat="false" ht="14.25" hidden="false" customHeight="true" outlineLevel="0" collapsed="false">
      <c r="A808" s="1"/>
      <c r="B808" s="1" t="s">
        <v>912</v>
      </c>
      <c r="C808" s="1" t="n">
        <v>19</v>
      </c>
      <c r="E808" s="11" t="s">
        <v>79</v>
      </c>
      <c r="F808" s="11" t="str">
        <f aca="false">IFERROR(__xludf.dummyfunction("GOOGLETRANSLATE(B808,""en"",""ar"")"),"رئيس")</f>
        <v>رئيس</v>
      </c>
      <c r="G808" s="3" t="n">
        <v>0</v>
      </c>
      <c r="H808" s="3" t="n">
        <v>0</v>
      </c>
    </row>
    <row r="809" customFormat="false" ht="14.25" hidden="false" customHeight="true" outlineLevel="0" collapsed="false">
      <c r="A809" s="1"/>
      <c r="B809" s="1" t="s">
        <v>913</v>
      </c>
      <c r="C809" s="1" t="n">
        <v>19</v>
      </c>
      <c r="E809" s="11" t="s">
        <v>235</v>
      </c>
      <c r="F809" s="11" t="str">
        <f aca="false">IFERROR(__xludf.dummyfunction("GOOGLETRANSLATE(B809,""en"",""ar"")"),"نشر")</f>
        <v>نشر</v>
      </c>
      <c r="G809" s="3" t="n">
        <v>0</v>
      </c>
      <c r="H809" s="3" t="n">
        <v>0</v>
      </c>
    </row>
    <row r="810" customFormat="false" ht="14.25" hidden="false" customHeight="true" outlineLevel="0" collapsed="false">
      <c r="A810" s="1"/>
      <c r="B810" s="1" t="s">
        <v>914</v>
      </c>
      <c r="C810" s="1" t="n">
        <v>19</v>
      </c>
      <c r="E810" s="11" t="s">
        <v>12</v>
      </c>
      <c r="F810" s="11" t="str">
        <f aca="false">IFERROR(__xludf.dummyfunction("GOOGLETRANSLATE(B810,""en"",""ar"")"),"تدرك")</f>
        <v>تدرك</v>
      </c>
      <c r="G810" s="3" t="n">
        <v>0</v>
      </c>
      <c r="H810" s="3" t="n">
        <v>0</v>
      </c>
    </row>
    <row r="811" customFormat="false" ht="14.25" hidden="false" customHeight="true" outlineLevel="0" collapsed="false">
      <c r="A811" s="1"/>
      <c r="B811" s="1" t="s">
        <v>915</v>
      </c>
      <c r="C811" s="1" t="n">
        <v>19</v>
      </c>
      <c r="E811" s="11" t="s">
        <v>112</v>
      </c>
      <c r="F811" s="11" t="str">
        <f aca="false">IFERROR(__xludf.dummyfunction("GOOGLETRANSLATE(B811,""en"",""ar"")"),"مسؤول")</f>
        <v>مسؤول</v>
      </c>
      <c r="G811" s="3" t="n">
        <v>0</v>
      </c>
      <c r="H811" s="3" t="n">
        <v>0</v>
      </c>
    </row>
    <row r="812" customFormat="false" ht="14.25" hidden="false" customHeight="true" outlineLevel="0" collapsed="false">
      <c r="A812" s="1"/>
      <c r="B812" s="1" t="s">
        <v>916</v>
      </c>
      <c r="C812" s="1" t="n">
        <v>19</v>
      </c>
      <c r="E812" s="11" t="s">
        <v>509</v>
      </c>
      <c r="F812" s="11" t="str">
        <f aca="false">IFERROR(__xludf.dummyfunction("GOOGLETRANSLATE(B812,""en"",""ar"")"),"منفصل")</f>
        <v>منفصل</v>
      </c>
      <c r="G812" s="3" t="n">
        <v>0</v>
      </c>
      <c r="H812" s="3" t="n">
        <v>0</v>
      </c>
    </row>
    <row r="813" customFormat="false" ht="14.25" hidden="false" customHeight="true" outlineLevel="0" collapsed="false">
      <c r="A813" s="1"/>
      <c r="B813" s="1" t="s">
        <v>917</v>
      </c>
      <c r="C813" s="1" t="n">
        <v>19</v>
      </c>
      <c r="E813" s="11" t="s">
        <v>908</v>
      </c>
      <c r="F813" s="11" t="str">
        <f aca="false">IFERROR(__xludf.dummyfunction("GOOGLETRANSLATE(B813,""en"",""ar"")"),"ميدان")</f>
        <v>ميدان</v>
      </c>
      <c r="G813" s="3" t="n">
        <v>0</v>
      </c>
      <c r="H813" s="3" t="n">
        <v>0</v>
      </c>
    </row>
    <row r="814" customFormat="false" ht="14.25" hidden="false" customHeight="true" outlineLevel="0" collapsed="false">
      <c r="A814" s="1"/>
      <c r="B814" s="1" t="s">
        <v>918</v>
      </c>
      <c r="C814" s="1" t="n">
        <v>19</v>
      </c>
      <c r="E814" s="11" t="s">
        <v>94</v>
      </c>
      <c r="F814" s="11" t="str">
        <f aca="false">IFERROR(__xludf.dummyfunction("GOOGLETRANSLATE(B814,""en"",""ar"")"),"قف")</f>
        <v>قف</v>
      </c>
      <c r="G814" s="3" t="n">
        <v>0</v>
      </c>
      <c r="H814" s="3" t="n">
        <v>0</v>
      </c>
    </row>
    <row r="815" customFormat="false" ht="14.25" hidden="false" customHeight="true" outlineLevel="0" collapsed="false">
      <c r="A815" s="1"/>
      <c r="B815" s="1" t="s">
        <v>919</v>
      </c>
      <c r="C815" s="1" t="n">
        <v>19</v>
      </c>
      <c r="E815" s="11" t="s">
        <v>94</v>
      </c>
      <c r="F815" s="11" t="str">
        <f aca="false">IFERROR(__xludf.dummyfunction("GOOGLETRANSLATE(B815,""en"",""ar"")"),"يعلم")</f>
        <v>يعلم</v>
      </c>
      <c r="G815" s="3" t="n">
        <v>0</v>
      </c>
      <c r="H815" s="3" t="n">
        <v>0</v>
      </c>
    </row>
    <row r="816" customFormat="false" ht="14.25" hidden="false" customHeight="true" outlineLevel="0" collapsed="false">
      <c r="A816" s="1"/>
      <c r="B816" s="1" t="s">
        <v>920</v>
      </c>
      <c r="C816" s="1" t="n">
        <v>19</v>
      </c>
      <c r="E816" s="11" t="s">
        <v>79</v>
      </c>
      <c r="F816" s="11" t="str">
        <f aca="false">IFERROR(__xludf.dummyfunction("GOOGLETRANSLATE(B816,""en"",""ar"")"),"وحدة")</f>
        <v>وحدة</v>
      </c>
      <c r="G816" s="3" t="n">
        <v>0</v>
      </c>
      <c r="H816" s="3" t="n">
        <v>0</v>
      </c>
    </row>
    <row r="817" customFormat="false" ht="14.25" hidden="false" customHeight="true" outlineLevel="0" collapsed="false">
      <c r="A817" s="1"/>
      <c r="B817" s="1" t="s">
        <v>921</v>
      </c>
      <c r="C817" s="1" t="n">
        <v>19</v>
      </c>
      <c r="E817" s="11" t="s">
        <v>235</v>
      </c>
      <c r="F817" s="11" t="str">
        <f aca="false">IFERROR(__xludf.dummyfunction("GOOGLETRANSLATE(B817,""en"",""ar"")"),"الغربي")</f>
        <v>الغربي</v>
      </c>
      <c r="G817" s="3" t="n">
        <v>0</v>
      </c>
      <c r="H817" s="3" t="n">
        <v>0</v>
      </c>
    </row>
    <row r="818" customFormat="false" ht="14.25" hidden="false" customHeight="true" outlineLevel="0" collapsed="false">
      <c r="A818" s="1"/>
      <c r="B818" s="1" t="s">
        <v>922</v>
      </c>
      <c r="C818" s="1" t="n">
        <v>19</v>
      </c>
      <c r="E818" s="11" t="s">
        <v>203</v>
      </c>
      <c r="F818" s="11" t="str">
        <f aca="false">IFERROR(__xludf.dummyfunction("GOOGLETRANSLATE(B818,""en"",""ar"")"),"نعم")</f>
        <v>نعم</v>
      </c>
      <c r="G818" s="3" t="n">
        <v>0</v>
      </c>
      <c r="H818" s="3" t="n">
        <v>0</v>
      </c>
    </row>
    <row r="819" customFormat="false" ht="14.25" hidden="false" customHeight="true" outlineLevel="0" collapsed="false">
      <c r="A819" s="1"/>
      <c r="B819" s="1" t="s">
        <v>923</v>
      </c>
      <c r="C819" s="1" t="n">
        <v>18</v>
      </c>
      <c r="E819" s="11" t="s">
        <v>50</v>
      </c>
      <c r="F819" s="11" t="str">
        <f aca="false">IFERROR(__xludf.dummyfunction("GOOGLETRANSLATE(B819,""en"",""ar"")"),"وحده")</f>
        <v>وحده</v>
      </c>
      <c r="G819" s="3" t="n">
        <v>0</v>
      </c>
      <c r="H819" s="3" t="n">
        <v>0</v>
      </c>
    </row>
    <row r="820" customFormat="false" ht="14.25" hidden="false" customHeight="true" outlineLevel="0" collapsed="false">
      <c r="A820" s="1"/>
      <c r="B820" s="1" t="s">
        <v>924</v>
      </c>
      <c r="C820" s="1" t="n">
        <v>18</v>
      </c>
      <c r="E820" s="11" t="s">
        <v>119</v>
      </c>
      <c r="F820" s="11" t="str">
        <f aca="false">IFERROR(__xludf.dummyfunction("GOOGLETRANSLATE(B820,""en"",""ar"")"),"محاولة")</f>
        <v>محاولة</v>
      </c>
      <c r="G820" s="3" t="n">
        <v>0</v>
      </c>
      <c r="H820" s="3" t="n">
        <v>0</v>
      </c>
    </row>
    <row r="821" customFormat="false" ht="14.25" hidden="false" customHeight="true" outlineLevel="0" collapsed="false">
      <c r="A821" s="1"/>
      <c r="B821" s="1" t="s">
        <v>925</v>
      </c>
      <c r="C821" s="1" t="n">
        <v>18</v>
      </c>
      <c r="E821" s="11" t="s">
        <v>79</v>
      </c>
      <c r="F821" s="11" t="str">
        <f aca="false">IFERROR(__xludf.dummyfunction("GOOGLETRANSLATE(B821,""en"",""ar"")"),"الفئة")</f>
        <v>الفئة</v>
      </c>
      <c r="G821" s="3" t="n">
        <v>0</v>
      </c>
      <c r="H821" s="3" t="n">
        <v>0</v>
      </c>
    </row>
    <row r="822" customFormat="false" ht="14.25" hidden="false" customHeight="true" outlineLevel="0" collapsed="false">
      <c r="A822" s="1"/>
      <c r="B822" s="1" t="s">
        <v>926</v>
      </c>
      <c r="C822" s="1" t="n">
        <v>18</v>
      </c>
      <c r="E822" s="11" t="s">
        <v>79</v>
      </c>
      <c r="F822" s="11" t="str">
        <f aca="false">IFERROR(__xludf.dummyfunction("GOOGLETRANSLATE(B822,""en"",""ar"")"),"سيجارة")</f>
        <v>سيجارة</v>
      </c>
      <c r="G822" s="3" t="n">
        <v>0</v>
      </c>
      <c r="H822" s="3" t="n">
        <v>0</v>
      </c>
    </row>
    <row r="823" customFormat="false" ht="14.25" hidden="false" customHeight="true" outlineLevel="0" collapsed="false">
      <c r="A823" s="1"/>
      <c r="B823" s="1" t="s">
        <v>927</v>
      </c>
      <c r="C823" s="1" t="n">
        <v>18</v>
      </c>
      <c r="E823" s="11" t="s">
        <v>94</v>
      </c>
      <c r="F823" s="11" t="str">
        <f aca="false">IFERROR(__xludf.dummyfunction("GOOGLETRANSLATE(B823,""en"",""ar"")"),"الاهتمام")</f>
        <v>الاهتمام</v>
      </c>
      <c r="G823" s="3" t="n">
        <v>0</v>
      </c>
      <c r="H823" s="3" t="n">
        <v>0</v>
      </c>
    </row>
    <row r="824" customFormat="false" ht="14.25" hidden="false" customHeight="true" outlineLevel="0" collapsed="false">
      <c r="A824" s="1"/>
      <c r="B824" s="1" t="s">
        <v>928</v>
      </c>
      <c r="C824" s="1" t="n">
        <v>18</v>
      </c>
      <c r="E824" s="11" t="s">
        <v>12</v>
      </c>
      <c r="F824" s="11" t="str">
        <f aca="false">IFERROR(__xludf.dummyfunction("GOOGLETRANSLATE(B824,""en"",""ar"")"),"يحتوي")</f>
        <v>يحتوي</v>
      </c>
      <c r="G824" s="3" t="n">
        <v>0</v>
      </c>
      <c r="H824" s="3" t="n">
        <v>0</v>
      </c>
    </row>
    <row r="825" customFormat="false" ht="14.25" hidden="false" customHeight="true" outlineLevel="0" collapsed="false">
      <c r="A825" s="1"/>
      <c r="B825" s="1" t="s">
        <v>929</v>
      </c>
      <c r="C825" s="1" t="n">
        <v>18</v>
      </c>
      <c r="E825" s="11" t="s">
        <v>79</v>
      </c>
      <c r="F825" s="11" t="str">
        <f aca="false">IFERROR(__xludf.dummyfunction("GOOGLETRANSLATE(B825,""en"",""ar"")"),"سياق الكلام")</f>
        <v>سياق الكلام</v>
      </c>
      <c r="G825" s="3" t="n">
        <v>0</v>
      </c>
      <c r="H825" s="3" t="n">
        <v>0</v>
      </c>
    </row>
    <row r="826" customFormat="false" ht="14.25" hidden="false" customHeight="true" outlineLevel="0" collapsed="false">
      <c r="A826" s="1"/>
      <c r="B826" s="1" t="s">
        <v>930</v>
      </c>
      <c r="C826" s="1" t="n">
        <v>18</v>
      </c>
      <c r="E826" s="11" t="s">
        <v>112</v>
      </c>
      <c r="F826" s="11" t="str">
        <f aca="false">IFERROR(__xludf.dummyfunction("GOOGLETRANSLATE(B826,""en"",""ar"")"),"جذاب")</f>
        <v>جذاب</v>
      </c>
      <c r="G826" s="3" t="n">
        <v>0</v>
      </c>
      <c r="H826" s="3" t="n">
        <v>0</v>
      </c>
    </row>
    <row r="827" customFormat="false" ht="14.25" hidden="false" customHeight="true" outlineLevel="0" collapsed="false">
      <c r="A827" s="1"/>
      <c r="B827" s="1" t="s">
        <v>931</v>
      </c>
      <c r="C827" s="1" t="n">
        <v>18</v>
      </c>
      <c r="E827" s="11" t="s">
        <v>119</v>
      </c>
      <c r="F827" s="11" t="str">
        <f aca="false">IFERROR(__xludf.dummyfunction("GOOGLETRANSLATE(B827,""en"",""ar"")"),"تاريخ")</f>
        <v>تاريخ</v>
      </c>
      <c r="G827" s="3" t="n">
        <v>0</v>
      </c>
      <c r="H827" s="3" t="n">
        <v>0</v>
      </c>
    </row>
    <row r="828" customFormat="false" ht="14.25" hidden="false" customHeight="true" outlineLevel="0" collapsed="false">
      <c r="A828" s="1"/>
      <c r="B828" s="1" t="s">
        <v>932</v>
      </c>
      <c r="C828" s="1" t="n">
        <v>18</v>
      </c>
      <c r="E828" s="11" t="s">
        <v>119</v>
      </c>
      <c r="F828" s="11" t="str">
        <f aca="false">IFERROR(__xludf.dummyfunction("GOOGLETRANSLATE(B828,""en"",""ar"")"),"تأثير")</f>
        <v>تأثير</v>
      </c>
      <c r="G828" s="3" t="n">
        <v>0</v>
      </c>
      <c r="H828" s="3" t="n">
        <v>0</v>
      </c>
    </row>
    <row r="829" customFormat="false" ht="14.25" hidden="false" customHeight="true" outlineLevel="0" collapsed="false">
      <c r="A829" s="1"/>
      <c r="B829" s="1" t="s">
        <v>933</v>
      </c>
      <c r="C829" s="1" t="n">
        <v>18</v>
      </c>
      <c r="E829" s="11" t="s">
        <v>42</v>
      </c>
      <c r="F829" s="11" t="str">
        <f aca="false">IFERROR(__xludf.dummyfunction("GOOGLETRANSLATE(B829,""en"",""ar"")"),"الى ابعد حد")</f>
        <v>الى ابعد حد</v>
      </c>
      <c r="G829" s="3" t="n">
        <v>0</v>
      </c>
      <c r="H829" s="3" t="n">
        <v>0</v>
      </c>
    </row>
    <row r="830" customFormat="false" ht="14.25" hidden="false" customHeight="true" outlineLevel="0" collapsed="false">
      <c r="A830" s="1"/>
      <c r="B830" s="1" t="s">
        <v>934</v>
      </c>
      <c r="C830" s="1" t="n">
        <v>18</v>
      </c>
      <c r="E830" s="11" t="s">
        <v>235</v>
      </c>
      <c r="F830" s="11" t="str">
        <f aca="false">IFERROR(__xludf.dummyfunction("GOOGLETRANSLATE(B830,""en"",""ar"")"),"معروف")</f>
        <v>معروف</v>
      </c>
      <c r="G830" s="3" t="n">
        <v>0</v>
      </c>
      <c r="H830" s="3" t="n">
        <v>0</v>
      </c>
    </row>
    <row r="831" customFormat="false" ht="14.25" hidden="false" customHeight="true" outlineLevel="0" collapsed="false">
      <c r="A831" s="1"/>
      <c r="B831" s="1" t="s">
        <v>935</v>
      </c>
      <c r="C831" s="1" t="n">
        <v>18</v>
      </c>
      <c r="E831" s="11" t="s">
        <v>42</v>
      </c>
      <c r="F831" s="11" t="str">
        <f aca="false">IFERROR(__xludf.dummyfunction("GOOGLETRANSLATE(B831,""en"",""ar"")"),"أخيرا")</f>
        <v>أخيرا</v>
      </c>
      <c r="G831" s="3" t="n">
        <v>0</v>
      </c>
      <c r="H831" s="3" t="n">
        <v>0</v>
      </c>
    </row>
    <row r="832" customFormat="false" ht="14.25" hidden="false" customHeight="true" outlineLevel="0" collapsed="false">
      <c r="A832" s="1"/>
      <c r="B832" s="1" t="s">
        <v>936</v>
      </c>
      <c r="C832" s="1" t="n">
        <v>18</v>
      </c>
      <c r="E832" s="11" t="s">
        <v>94</v>
      </c>
      <c r="F832" s="11" t="str">
        <f aca="false">IFERROR(__xludf.dummyfunction("GOOGLETRANSLATE(B832,""en"",""ar"")"),"يطير")</f>
        <v>يطير</v>
      </c>
      <c r="G832" s="3" t="n">
        <v>0</v>
      </c>
      <c r="H832" s="3" t="n">
        <v>0</v>
      </c>
    </row>
    <row r="833" customFormat="false" ht="14.25" hidden="false" customHeight="true" outlineLevel="0" collapsed="false">
      <c r="A833" s="1"/>
      <c r="B833" s="1" t="s">
        <v>937</v>
      </c>
      <c r="C833" s="1" t="n">
        <v>18</v>
      </c>
      <c r="E833" s="11" t="s">
        <v>12</v>
      </c>
      <c r="F833" s="11" t="str">
        <f aca="false">IFERROR(__xludf.dummyfunction("GOOGLETRANSLATE(B833,""en"",""ar"")"),"إتبع")</f>
        <v>إتبع</v>
      </c>
      <c r="G833" s="3" t="n">
        <v>0</v>
      </c>
      <c r="H833" s="3" t="n">
        <v>0</v>
      </c>
    </row>
    <row r="834" customFormat="false" ht="14.25" hidden="false" customHeight="true" outlineLevel="0" collapsed="false">
      <c r="A834" s="1"/>
      <c r="B834" s="1" t="s">
        <v>938</v>
      </c>
      <c r="C834" s="1" t="n">
        <v>18</v>
      </c>
      <c r="E834" s="11" t="s">
        <v>112</v>
      </c>
      <c r="F834" s="11" t="str">
        <f aca="false">IFERROR(__xludf.dummyfunction("GOOGLETRANSLATE(B834,""en"",""ar"")"),"متعاون")</f>
        <v>متعاون</v>
      </c>
      <c r="G834" s="3" t="n">
        <v>0</v>
      </c>
      <c r="H834" s="3" t="n">
        <v>0</v>
      </c>
    </row>
    <row r="835" customFormat="false" ht="14.25" hidden="false" customHeight="true" outlineLevel="0" collapsed="false">
      <c r="A835" s="1"/>
      <c r="B835" s="1" t="s">
        <v>939</v>
      </c>
      <c r="C835" s="1" t="n">
        <v>18</v>
      </c>
      <c r="E835" s="11" t="s">
        <v>79</v>
      </c>
      <c r="F835" s="11" t="str">
        <f aca="false">IFERROR(__xludf.dummyfunction("GOOGLETRANSLATE(B835,""en"",""ar"")"),"المقدمة")</f>
        <v>المقدمة</v>
      </c>
      <c r="G835" s="3" t="n">
        <v>0</v>
      </c>
      <c r="H835" s="3" t="n">
        <v>0</v>
      </c>
    </row>
    <row r="836" customFormat="false" ht="14.25" hidden="false" customHeight="true" outlineLevel="0" collapsed="false">
      <c r="A836" s="1"/>
      <c r="B836" s="1" t="s">
        <v>940</v>
      </c>
      <c r="C836" s="1" t="n">
        <v>18</v>
      </c>
      <c r="E836" s="11" t="s">
        <v>119</v>
      </c>
      <c r="F836" s="11" t="str">
        <f aca="false">IFERROR(__xludf.dummyfunction("GOOGLETRANSLATE(B836,""en"",""ar"")"),"حلقة الوصل")</f>
        <v>حلقة الوصل</v>
      </c>
      <c r="G836" s="3" t="n">
        <v>0</v>
      </c>
      <c r="H836" s="3" t="n">
        <v>0</v>
      </c>
    </row>
    <row r="837" customFormat="false" ht="14.25" hidden="false" customHeight="true" outlineLevel="0" collapsed="false">
      <c r="A837" s="1"/>
      <c r="B837" s="1" t="s">
        <v>941</v>
      </c>
      <c r="C837" s="1" t="n">
        <v>18</v>
      </c>
      <c r="E837" s="11" t="s">
        <v>235</v>
      </c>
      <c r="F837" s="11" t="str">
        <f aca="false">IFERROR(__xludf.dummyfunction("GOOGLETRANSLATE(B837,""en"",""ar"")"),"الرسمية")</f>
        <v>الرسمية</v>
      </c>
      <c r="G837" s="3" t="n">
        <v>0</v>
      </c>
      <c r="H837" s="3" t="n">
        <v>0</v>
      </c>
    </row>
    <row r="838" customFormat="false" ht="14.25" hidden="false" customHeight="true" outlineLevel="0" collapsed="false">
      <c r="A838" s="1"/>
      <c r="B838" s="1" t="s">
        <v>942</v>
      </c>
      <c r="C838" s="1" t="n">
        <v>18</v>
      </c>
      <c r="E838" s="11" t="s">
        <v>79</v>
      </c>
      <c r="F838" s="11" t="str">
        <f aca="false">IFERROR(__xludf.dummyfunction("GOOGLETRANSLATE(B838,""en"",""ar"")"),"فرصة")</f>
        <v>فرصة</v>
      </c>
      <c r="G838" s="3" t="n">
        <v>0</v>
      </c>
      <c r="H838" s="3" t="n">
        <v>0</v>
      </c>
    </row>
    <row r="839" customFormat="false" ht="14.25" hidden="false" customHeight="true" outlineLevel="0" collapsed="false">
      <c r="A839" s="1"/>
      <c r="B839" s="1" t="s">
        <v>943</v>
      </c>
      <c r="C839" s="1" t="n">
        <v>18</v>
      </c>
      <c r="E839" s="11" t="s">
        <v>509</v>
      </c>
      <c r="F839" s="11" t="str">
        <f aca="false">IFERROR(__xludf.dummyfunction("GOOGLETRANSLATE(B839,""en"",""ar"")"),"في احسن الاحوال")</f>
        <v>في احسن الاحوال</v>
      </c>
      <c r="G839" s="3" t="n">
        <v>0</v>
      </c>
      <c r="H839" s="3" t="n">
        <v>0</v>
      </c>
    </row>
    <row r="840" customFormat="false" ht="14.25" hidden="false" customHeight="true" outlineLevel="0" collapsed="false">
      <c r="A840" s="1"/>
      <c r="B840" s="1" t="s">
        <v>944</v>
      </c>
      <c r="C840" s="1" t="n">
        <v>18</v>
      </c>
      <c r="E840" s="11" t="s">
        <v>79</v>
      </c>
      <c r="F840" s="11" t="str">
        <f aca="false">IFERROR(__xludf.dummyfunction("GOOGLETRANSLATE(B840,""en"",""ar"")"),"أداء")</f>
        <v>أداء</v>
      </c>
      <c r="G840" s="3" t="n">
        <v>0</v>
      </c>
      <c r="H840" s="3" t="n">
        <v>0</v>
      </c>
    </row>
    <row r="841" customFormat="false" ht="14.25" hidden="false" customHeight="true" outlineLevel="0" collapsed="false">
      <c r="A841" s="1"/>
      <c r="B841" s="1" t="s">
        <v>945</v>
      </c>
      <c r="C841" s="1" t="n">
        <v>18</v>
      </c>
      <c r="E841" s="11" t="s">
        <v>239</v>
      </c>
      <c r="F841" s="11" t="str">
        <f aca="false">IFERROR(__xludf.dummyfunction("GOOGLETRANSLATE(B841,""en"",""ar"")"),"بريد")</f>
        <v>بريد</v>
      </c>
      <c r="G841" s="3" t="n">
        <v>0</v>
      </c>
      <c r="H841" s="3" t="n">
        <v>0</v>
      </c>
    </row>
    <row r="842" customFormat="false" ht="14.25" hidden="false" customHeight="true" outlineLevel="0" collapsed="false">
      <c r="A842" s="1"/>
      <c r="B842" s="1" t="s">
        <v>946</v>
      </c>
      <c r="C842" s="1" t="n">
        <v>18</v>
      </c>
      <c r="E842" s="11" t="s">
        <v>112</v>
      </c>
      <c r="F842" s="11" t="str">
        <f aca="false">IFERROR(__xludf.dummyfunction("GOOGLETRANSLATE(B842,""en"",""ar"")"),"الأخيرة")</f>
        <v>الأخيرة</v>
      </c>
      <c r="G842" s="3" t="n">
        <v>0</v>
      </c>
      <c r="H842" s="3" t="n">
        <v>0</v>
      </c>
    </row>
    <row r="843" customFormat="false" ht="14.25" hidden="false" customHeight="true" outlineLevel="0" collapsed="false">
      <c r="A843" s="1"/>
      <c r="B843" s="1" t="s">
        <v>947</v>
      </c>
      <c r="C843" s="1" t="n">
        <v>18</v>
      </c>
      <c r="E843" s="11" t="s">
        <v>12</v>
      </c>
      <c r="F843" s="11" t="str">
        <f aca="false">IFERROR(__xludf.dummyfunction("GOOGLETRANSLATE(B843,""en"",""ar"")"),"أشير")</f>
        <v>أشير</v>
      </c>
      <c r="G843" s="3" t="n">
        <v>0</v>
      </c>
      <c r="H843" s="3" t="n">
        <v>0</v>
      </c>
    </row>
    <row r="844" customFormat="false" ht="14.25" hidden="false" customHeight="true" outlineLevel="0" collapsed="false">
      <c r="A844" s="1"/>
      <c r="B844" s="1" t="s">
        <v>948</v>
      </c>
      <c r="C844" s="1" t="n">
        <v>18</v>
      </c>
      <c r="E844" s="11" t="s">
        <v>12</v>
      </c>
      <c r="F844" s="11" t="str">
        <f aca="false">IFERROR(__xludf.dummyfunction("GOOGLETRANSLATE(B844,""en"",""ar"")"),"يحل")</f>
        <v>يحل</v>
      </c>
      <c r="G844" s="3" t="n">
        <v>0</v>
      </c>
      <c r="H844" s="3" t="n">
        <v>0</v>
      </c>
    </row>
    <row r="845" customFormat="false" ht="14.25" hidden="false" customHeight="true" outlineLevel="0" collapsed="false">
      <c r="A845" s="1"/>
      <c r="B845" s="1" t="s">
        <v>949</v>
      </c>
      <c r="C845" s="1" t="n">
        <v>18</v>
      </c>
      <c r="E845" s="11" t="s">
        <v>119</v>
      </c>
      <c r="F845" s="11" t="str">
        <f aca="false">IFERROR(__xludf.dummyfunction("GOOGLETRANSLATE(B845,""en"",""ar"")"),"نجمة")</f>
        <v>نجمة</v>
      </c>
      <c r="G845" s="3" t="n">
        <v>0</v>
      </c>
      <c r="H845" s="3" t="n">
        <v>0</v>
      </c>
    </row>
    <row r="846" customFormat="false" ht="14.25" hidden="false" customHeight="true" outlineLevel="0" collapsed="false">
      <c r="A846" s="1"/>
      <c r="B846" s="1" t="s">
        <v>950</v>
      </c>
      <c r="C846" s="1" t="n">
        <v>18</v>
      </c>
      <c r="E846" s="11" t="s">
        <v>119</v>
      </c>
      <c r="F846" s="11" t="str">
        <f aca="false">IFERROR(__xludf.dummyfunction("GOOGLETRANSLATE(B846,""en"",""ar"")"),"صوت بشري")</f>
        <v>صوت بشري</v>
      </c>
      <c r="G846" s="3" t="n">
        <v>0</v>
      </c>
      <c r="H846" s="3" t="n">
        <v>0</v>
      </c>
    </row>
    <row r="847" customFormat="false" ht="14.25" hidden="false" customHeight="true" outlineLevel="0" collapsed="false">
      <c r="A847" s="1"/>
      <c r="B847" s="1" t="s">
        <v>951</v>
      </c>
      <c r="C847" s="1" t="n">
        <v>18</v>
      </c>
      <c r="E847" s="11" t="s">
        <v>112</v>
      </c>
      <c r="F847" s="11" t="str">
        <f aca="false">IFERROR(__xludf.dummyfunction("GOOGLETRANSLATE(B847,""en"",""ar"")"),"مستعد")</f>
        <v>مستعد</v>
      </c>
      <c r="G847" s="3" t="n">
        <v>0</v>
      </c>
      <c r="H847" s="3" t="n">
        <v>0</v>
      </c>
    </row>
    <row r="848" customFormat="false" ht="14.25" hidden="false" customHeight="true" outlineLevel="0" collapsed="false">
      <c r="A848" s="1"/>
      <c r="B848" s="1" t="s">
        <v>952</v>
      </c>
      <c r="C848" s="1" t="n">
        <v>17</v>
      </c>
      <c r="E848" s="11" t="s">
        <v>953</v>
      </c>
      <c r="F848" s="11" t="str">
        <f aca="false">IFERROR(__xludf.dummyfunction("GOOGLETRANSLATE(B848,""en"",""ar"")"),"ولد")</f>
        <v>ولد</v>
      </c>
      <c r="G848" s="3" t="n">
        <v>0</v>
      </c>
      <c r="H848" s="3" t="n">
        <v>0</v>
      </c>
    </row>
    <row r="849" customFormat="false" ht="14.25" hidden="false" customHeight="true" outlineLevel="0" collapsed="false">
      <c r="A849" s="1"/>
      <c r="B849" s="1" t="s">
        <v>954</v>
      </c>
      <c r="C849" s="1" t="n">
        <v>17</v>
      </c>
      <c r="E849" s="11" t="s">
        <v>336</v>
      </c>
      <c r="F849" s="11" t="str">
        <f aca="false">IFERROR(__xludf.dummyfunction("GOOGLETRANSLATE(B849,""en"",""ar"")"),"مشرق")</f>
        <v>مشرق</v>
      </c>
      <c r="G849" s="3" t="n">
        <v>0</v>
      </c>
      <c r="H849" s="3" t="n">
        <v>0</v>
      </c>
    </row>
    <row r="850" customFormat="false" ht="14.25" hidden="false" customHeight="true" outlineLevel="0" collapsed="false">
      <c r="A850" s="1"/>
      <c r="B850" s="1" t="s">
        <v>955</v>
      </c>
      <c r="C850" s="1" t="n">
        <v>17</v>
      </c>
      <c r="E850" s="11" t="s">
        <v>235</v>
      </c>
      <c r="F850" s="11" t="str">
        <f aca="false">IFERROR(__xludf.dummyfunction("GOOGLETRANSLATE(B850,""en"",""ar"")"),"عريض")</f>
        <v>عريض</v>
      </c>
      <c r="G850" s="3" t="n">
        <v>0</v>
      </c>
      <c r="H850" s="3" t="n">
        <v>0</v>
      </c>
    </row>
    <row r="851" customFormat="false" ht="14.25" hidden="false" customHeight="true" outlineLevel="0" collapsed="false">
      <c r="A851" s="1"/>
      <c r="B851" s="1" t="s">
        <v>956</v>
      </c>
      <c r="C851" s="1" t="n">
        <v>17</v>
      </c>
      <c r="E851" s="11" t="s">
        <v>148</v>
      </c>
      <c r="F851" s="11" t="str">
        <f aca="false">IFERROR(__xludf.dummyfunction("GOOGLETRANSLATE(B851,""en"",""ar"")"),"رأس المال")</f>
        <v>رأس المال</v>
      </c>
      <c r="G851" s="3" t="n">
        <v>0</v>
      </c>
      <c r="H851" s="3" t="n">
        <v>0</v>
      </c>
    </row>
    <row r="852" customFormat="false" ht="14.25" hidden="false" customHeight="true" outlineLevel="0" collapsed="false">
      <c r="A852" s="1"/>
      <c r="B852" s="1" t="s">
        <v>957</v>
      </c>
      <c r="C852" s="1" t="n">
        <v>17</v>
      </c>
      <c r="E852" s="11" t="s">
        <v>128</v>
      </c>
      <c r="F852" s="11" t="str">
        <f aca="false">IFERROR(__xludf.dummyfunction("GOOGLETRANSLATE(B852,""en"",""ar"")"),"تحدي")</f>
        <v>تحدي</v>
      </c>
      <c r="G852" s="3" t="n">
        <v>0</v>
      </c>
      <c r="H852" s="3" t="n">
        <v>0</v>
      </c>
    </row>
    <row r="853" customFormat="false" ht="14.25" hidden="false" customHeight="true" outlineLevel="0" collapsed="false">
      <c r="A853" s="1"/>
      <c r="B853" s="1" t="s">
        <v>958</v>
      </c>
      <c r="C853" s="1" t="n">
        <v>17</v>
      </c>
      <c r="E853" s="11" t="s">
        <v>235</v>
      </c>
      <c r="F853" s="11" t="str">
        <f aca="false">IFERROR(__xludf.dummyfunction("GOOGLETRANSLATE(B853,""en"",""ar"")"),"مريح")</f>
        <v>مريح</v>
      </c>
      <c r="G853" s="3" t="n">
        <v>0</v>
      </c>
      <c r="H853" s="3" t="n">
        <v>0</v>
      </c>
    </row>
    <row r="854" customFormat="false" ht="14.25" hidden="false" customHeight="true" outlineLevel="0" collapsed="false">
      <c r="A854" s="1"/>
      <c r="B854" s="1" t="s">
        <v>959</v>
      </c>
      <c r="C854" s="1" t="n">
        <v>17</v>
      </c>
      <c r="E854" s="11" t="s">
        <v>42</v>
      </c>
      <c r="F854" s="11" t="str">
        <f aca="false">IFERROR(__xludf.dummyfunction("GOOGLETRANSLATE(B854,""en"",""ar"")"),"باستمرار")</f>
        <v>باستمرار</v>
      </c>
      <c r="G854" s="3" t="n">
        <v>0</v>
      </c>
      <c r="H854" s="3" t="n">
        <v>0</v>
      </c>
    </row>
    <row r="855" customFormat="false" ht="14.25" hidden="false" customHeight="true" outlineLevel="0" collapsed="false">
      <c r="A855" s="1"/>
      <c r="B855" s="1" t="s">
        <v>960</v>
      </c>
      <c r="C855" s="1" t="n">
        <v>17</v>
      </c>
      <c r="E855" s="11" t="s">
        <v>12</v>
      </c>
      <c r="F855" s="11" t="str">
        <f aca="false">IFERROR(__xludf.dummyfunction("GOOGLETRANSLATE(B855,""en"",""ar"")"),"يصف")</f>
        <v>يصف</v>
      </c>
      <c r="G855" s="3" t="n">
        <v>0</v>
      </c>
      <c r="H855" s="3" t="n">
        <v>0</v>
      </c>
    </row>
    <row r="856" customFormat="false" ht="14.25" hidden="false" customHeight="true" outlineLevel="0" collapsed="false">
      <c r="A856" s="1"/>
      <c r="B856" s="1" t="s">
        <v>961</v>
      </c>
      <c r="C856" s="1" t="n">
        <v>17</v>
      </c>
      <c r="E856" s="11" t="s">
        <v>32</v>
      </c>
      <c r="F856" s="11" t="str">
        <f aca="false">IFERROR(__xludf.dummyfunction("GOOGLETRANSLATE(B856,""en"",""ar"")"),"بالرغم من")</f>
        <v>بالرغم من</v>
      </c>
      <c r="G856" s="3" t="n">
        <v>0</v>
      </c>
      <c r="H856" s="3" t="n">
        <v>0</v>
      </c>
    </row>
    <row r="857" customFormat="false" ht="14.25" hidden="false" customHeight="true" outlineLevel="0" collapsed="false">
      <c r="A857" s="1"/>
      <c r="B857" s="1" t="s">
        <v>962</v>
      </c>
      <c r="C857" s="1" t="n">
        <v>17</v>
      </c>
      <c r="E857" s="11" t="s">
        <v>79</v>
      </c>
      <c r="F857" s="11" t="str">
        <f aca="false">IFERROR(__xludf.dummyfunction("GOOGLETRANSLATE(B857,""en"",""ar"")"),"سائق")</f>
        <v>سائق</v>
      </c>
      <c r="G857" s="3" t="n">
        <v>0</v>
      </c>
      <c r="H857" s="3" t="n">
        <v>0</v>
      </c>
    </row>
    <row r="858" customFormat="false" ht="14.25" hidden="false" customHeight="true" outlineLevel="0" collapsed="false">
      <c r="A858" s="1"/>
      <c r="B858" s="1" t="s">
        <v>963</v>
      </c>
      <c r="C858" s="1" t="n">
        <v>17</v>
      </c>
      <c r="E858" s="11" t="s">
        <v>205</v>
      </c>
      <c r="F858" s="11" t="str">
        <f aca="false">IFERROR(__xludf.dummyfunction("GOOGLETRANSLATE(B858,""en"",""ar"")"),"مستوي")</f>
        <v>مستوي</v>
      </c>
      <c r="G858" s="3" t="n">
        <v>0</v>
      </c>
      <c r="H858" s="3" t="n">
        <v>0</v>
      </c>
    </row>
    <row r="859" customFormat="false" ht="14.25" hidden="false" customHeight="true" outlineLevel="0" collapsed="false">
      <c r="A859" s="1"/>
      <c r="B859" s="1" t="s">
        <v>964</v>
      </c>
      <c r="C859" s="1" t="n">
        <v>17</v>
      </c>
      <c r="E859" s="11" t="s">
        <v>79</v>
      </c>
      <c r="F859" s="11" t="str">
        <f aca="false">IFERROR(__xludf.dummyfunction("GOOGLETRANSLATE(B859,""en"",""ar"")"),"طيران")</f>
        <v>طيران</v>
      </c>
      <c r="G859" s="3" t="n">
        <v>0</v>
      </c>
      <c r="H859" s="3" t="n">
        <v>0</v>
      </c>
    </row>
    <row r="860" customFormat="false" ht="14.25" hidden="false" customHeight="true" outlineLevel="0" collapsed="false">
      <c r="A860" s="1"/>
      <c r="B860" s="1" t="s">
        <v>965</v>
      </c>
      <c r="C860" s="1" t="n">
        <v>17</v>
      </c>
      <c r="E860" s="11" t="s">
        <v>119</v>
      </c>
      <c r="F860" s="11" t="str">
        <f aca="false">IFERROR(__xludf.dummyfunction("GOOGLETRANSLATE(B860,""en"",""ar"")"),"صديق")</f>
        <v>صديق</v>
      </c>
      <c r="G860" s="3" t="n">
        <v>0</v>
      </c>
      <c r="H860" s="3" t="n">
        <v>0</v>
      </c>
    </row>
    <row r="861" customFormat="false" ht="14.25" hidden="false" customHeight="true" outlineLevel="0" collapsed="false">
      <c r="A861" s="1"/>
      <c r="B861" s="1" t="s">
        <v>966</v>
      </c>
      <c r="C861" s="1" t="n">
        <v>17</v>
      </c>
      <c r="E861" s="11" t="s">
        <v>94</v>
      </c>
      <c r="F861" s="11" t="str">
        <f aca="false">IFERROR(__xludf.dummyfunction("GOOGLETRANSLATE(B861,""en"",""ar"")"),"ربح")</f>
        <v>ربح</v>
      </c>
      <c r="G861" s="3" t="n">
        <v>0</v>
      </c>
      <c r="H861" s="3" t="n">
        <v>0</v>
      </c>
    </row>
    <row r="862" customFormat="false" ht="14.25" hidden="false" customHeight="true" outlineLevel="0" collapsed="false">
      <c r="A862" s="1"/>
      <c r="B862" s="1" t="s">
        <v>967</v>
      </c>
      <c r="C862" s="1" t="n">
        <v>17</v>
      </c>
      <c r="E862" s="11" t="s">
        <v>30</v>
      </c>
      <c r="F862" s="11" t="str">
        <f aca="false">IFERROR(__xludf.dummyfunction("GOOGLETRANSLATE(B862,""en"",""ar"")"),"له")</f>
        <v>له</v>
      </c>
      <c r="G862" s="3" t="n">
        <v>0</v>
      </c>
      <c r="H862" s="3" t="n">
        <v>0</v>
      </c>
    </row>
    <row r="863" customFormat="false" ht="14.25" hidden="false" customHeight="true" outlineLevel="0" collapsed="false">
      <c r="A863" s="1"/>
      <c r="B863" s="1" t="s">
        <v>968</v>
      </c>
      <c r="C863" s="1" t="n">
        <v>17</v>
      </c>
      <c r="E863" s="11" t="s">
        <v>79</v>
      </c>
      <c r="F863" s="11" t="str">
        <f aca="false">IFERROR(__xludf.dummyfunction("GOOGLETRANSLATE(B863,""en"",""ar"")"),"الطول")</f>
        <v>الطول</v>
      </c>
      <c r="G863" s="3" t="n">
        <v>0</v>
      </c>
      <c r="H863" s="3" t="n">
        <v>0</v>
      </c>
    </row>
    <row r="864" customFormat="false" ht="14.25" hidden="false" customHeight="true" outlineLevel="0" collapsed="false">
      <c r="A864" s="1"/>
      <c r="B864" s="1" t="s">
        <v>969</v>
      </c>
      <c r="C864" s="1" t="n">
        <v>17</v>
      </c>
      <c r="E864" s="11" t="s">
        <v>79</v>
      </c>
      <c r="F864" s="11" t="str">
        <f aca="false">IFERROR(__xludf.dummyfunction("GOOGLETRANSLATE(B864,""en"",""ar"")"),"مجلة")</f>
        <v>مجلة</v>
      </c>
      <c r="G864" s="3" t="n">
        <v>0</v>
      </c>
      <c r="H864" s="3" t="n">
        <v>0</v>
      </c>
    </row>
    <row r="865" customFormat="false" ht="14.25" hidden="false" customHeight="true" outlineLevel="0" collapsed="false">
      <c r="A865" s="1"/>
      <c r="B865" s="1" t="s">
        <v>970</v>
      </c>
      <c r="C865" s="1" t="n">
        <v>17</v>
      </c>
      <c r="E865" s="11" t="s">
        <v>314</v>
      </c>
      <c r="F865" s="11" t="str">
        <f aca="false">IFERROR(__xludf.dummyfunction("GOOGLETRANSLATE(B865,""en"",""ar"")"),"يمكن")</f>
        <v>يمكن</v>
      </c>
      <c r="G865" s="3" t="n">
        <v>0</v>
      </c>
      <c r="H865" s="3" t="n">
        <v>0</v>
      </c>
    </row>
    <row r="866" customFormat="false" ht="14.25" hidden="false" customHeight="true" outlineLevel="0" collapsed="false">
      <c r="A866" s="1"/>
      <c r="B866" s="1" t="s">
        <v>971</v>
      </c>
      <c r="C866" s="1" t="n">
        <v>17</v>
      </c>
      <c r="E866" s="11" t="s">
        <v>79</v>
      </c>
      <c r="F866" s="11" t="str">
        <f aca="false">IFERROR(__xludf.dummyfunction("GOOGLETRANSLATE(B866,""en"",""ar"")"),"جريدة")</f>
        <v>جريدة</v>
      </c>
      <c r="G866" s="3" t="n">
        <v>0</v>
      </c>
      <c r="H866" s="3" t="n">
        <v>0</v>
      </c>
    </row>
    <row r="867" customFormat="false" ht="14.25" hidden="false" customHeight="true" outlineLevel="0" collapsed="false">
      <c r="A867" s="1"/>
      <c r="B867" s="1" t="s">
        <v>972</v>
      </c>
      <c r="C867" s="1" t="n">
        <v>17</v>
      </c>
      <c r="E867" s="11" t="s">
        <v>112</v>
      </c>
      <c r="F867" s="11" t="str">
        <f aca="false">IFERROR(__xludf.dummyfunction("GOOGLETRANSLATE(B867,""en"",""ar"")"),"لطيف")</f>
        <v>لطيف</v>
      </c>
      <c r="G867" s="3" t="n">
        <v>0</v>
      </c>
      <c r="H867" s="3" t="n">
        <v>0</v>
      </c>
    </row>
    <row r="868" customFormat="false" ht="14.25" hidden="false" customHeight="true" outlineLevel="0" collapsed="false">
      <c r="A868" s="1"/>
      <c r="B868" s="1" t="s">
        <v>973</v>
      </c>
      <c r="C868" s="1" t="n">
        <v>17</v>
      </c>
      <c r="E868" s="11" t="s">
        <v>12</v>
      </c>
      <c r="F868" s="11" t="str">
        <f aca="false">IFERROR(__xludf.dummyfunction("GOOGLETRANSLATE(B868,""en"",""ar"")"),"تفضل")</f>
        <v>تفضل</v>
      </c>
      <c r="G868" s="3" t="n">
        <v>0</v>
      </c>
      <c r="H868" s="3" t="n">
        <v>0</v>
      </c>
    </row>
    <row r="869" customFormat="false" ht="14.25" hidden="false" customHeight="true" outlineLevel="0" collapsed="false">
      <c r="A869" s="1"/>
      <c r="B869" s="1" t="s">
        <v>974</v>
      </c>
      <c r="C869" s="1" t="n">
        <v>17</v>
      </c>
      <c r="E869" s="11" t="s">
        <v>12</v>
      </c>
      <c r="F869" s="11" t="str">
        <f aca="false">IFERROR(__xludf.dummyfunction("GOOGLETRANSLATE(B869,""en"",""ar"")"),"يحاولوا")</f>
        <v>يحاولوا</v>
      </c>
      <c r="G869" s="3" t="n">
        <v>0</v>
      </c>
      <c r="H869" s="3" t="n">
        <v>0</v>
      </c>
    </row>
    <row r="870" customFormat="false" ht="14.25" hidden="false" customHeight="true" outlineLevel="0" collapsed="false">
      <c r="A870" s="1"/>
      <c r="B870" s="1" t="s">
        <v>975</v>
      </c>
      <c r="C870" s="1" t="n">
        <v>17</v>
      </c>
      <c r="E870" s="11" t="s">
        <v>42</v>
      </c>
      <c r="F870" s="11" t="str">
        <f aca="false">IFERROR(__xludf.dummyfunction("GOOGLETRANSLATE(B870,""en"",""ar"")"),"بصورة صحيحة")</f>
        <v>بصورة صحيحة</v>
      </c>
      <c r="G870" s="3" t="n">
        <v>0</v>
      </c>
      <c r="H870" s="3" t="n">
        <v>0</v>
      </c>
    </row>
    <row r="871" customFormat="false" ht="14.25" hidden="false" customHeight="true" outlineLevel="0" collapsed="false">
      <c r="A871" s="1"/>
      <c r="B871" s="1" t="s">
        <v>976</v>
      </c>
      <c r="C871" s="1" t="n">
        <v>17</v>
      </c>
      <c r="E871" s="11" t="s">
        <v>79</v>
      </c>
      <c r="F871" s="11" t="str">
        <f aca="false">IFERROR(__xludf.dummyfunction("GOOGLETRANSLATE(B871,""en"",""ar"")"),"صلة")</f>
        <v>صلة</v>
      </c>
      <c r="G871" s="3" t="n">
        <v>0</v>
      </c>
      <c r="H871" s="3" t="n">
        <v>0</v>
      </c>
    </row>
    <row r="872" customFormat="false" ht="14.25" hidden="false" customHeight="true" outlineLevel="0" collapsed="false">
      <c r="A872" s="1"/>
      <c r="B872" s="1" t="s">
        <v>977</v>
      </c>
      <c r="C872" s="1" t="n">
        <v>17</v>
      </c>
      <c r="E872" s="11" t="s">
        <v>235</v>
      </c>
      <c r="F872" s="11" t="str">
        <f aca="false">IFERROR(__xludf.dummyfunction("GOOGLETRANSLATE(B872,""en"",""ar"")"),"ثري")</f>
        <v>ثري</v>
      </c>
      <c r="G872" s="3" t="n">
        <v>0</v>
      </c>
      <c r="H872" s="3" t="n">
        <v>0</v>
      </c>
    </row>
    <row r="873" customFormat="false" ht="14.25" hidden="false" customHeight="true" outlineLevel="0" collapsed="false">
      <c r="A873" s="1"/>
      <c r="B873" s="1" t="s">
        <v>978</v>
      </c>
      <c r="C873" s="1" t="n">
        <v>17</v>
      </c>
      <c r="E873" s="11" t="s">
        <v>979</v>
      </c>
      <c r="F873" s="11" t="str">
        <f aca="false">IFERROR(__xludf.dummyfunction("GOOGLETRANSLATE(B873,""en"",""ar"")"),"حفظ")</f>
        <v>حفظ</v>
      </c>
      <c r="G873" s="3" t="n">
        <v>0</v>
      </c>
      <c r="H873" s="3" t="n">
        <v>0</v>
      </c>
    </row>
    <row r="874" customFormat="false" ht="14.25" hidden="false" customHeight="true" outlineLevel="0" collapsed="false">
      <c r="A874" s="1"/>
      <c r="B874" s="1" t="s">
        <v>980</v>
      </c>
      <c r="C874" s="1" t="n">
        <v>17</v>
      </c>
      <c r="E874" s="11" t="s">
        <v>981</v>
      </c>
      <c r="F874" s="11" t="str">
        <f aca="false">IFERROR(__xludf.dummyfunction("GOOGLETRANSLATE(B874,""en"",""ar"")"),"الذات")</f>
        <v>الذات</v>
      </c>
      <c r="G874" s="3" t="n">
        <v>0</v>
      </c>
      <c r="H874" s="3" t="n">
        <v>0</v>
      </c>
    </row>
    <row r="875" customFormat="false" ht="14.25" hidden="false" customHeight="true" outlineLevel="0" collapsed="false">
      <c r="A875" s="1"/>
      <c r="B875" s="1" t="s">
        <v>982</v>
      </c>
      <c r="C875" s="1" t="n">
        <v>17</v>
      </c>
      <c r="E875" s="11" t="s">
        <v>148</v>
      </c>
      <c r="F875" s="11" t="str">
        <f aca="false">IFERROR(__xludf.dummyfunction("GOOGLETRANSLATE(B875,""en"",""ar"")"),"اطلاق النار")</f>
        <v>اطلاق النار</v>
      </c>
      <c r="G875" s="3" t="n">
        <v>0</v>
      </c>
      <c r="H875" s="3" t="n">
        <v>0</v>
      </c>
    </row>
    <row r="876" customFormat="false" ht="14.25" hidden="false" customHeight="true" outlineLevel="0" collapsed="false">
      <c r="A876" s="1"/>
      <c r="B876" s="1" t="s">
        <v>983</v>
      </c>
      <c r="C876" s="1" t="n">
        <v>17</v>
      </c>
      <c r="E876" s="11" t="s">
        <v>42</v>
      </c>
      <c r="F876" s="11" t="str">
        <f aca="false">IFERROR(__xludf.dummyfunction("GOOGLETRANSLATE(B876,""en"",""ar"")"),"هكذا")</f>
        <v>هكذا</v>
      </c>
      <c r="G876" s="3" t="n">
        <v>0</v>
      </c>
      <c r="H876" s="3" t="n">
        <v>0</v>
      </c>
    </row>
    <row r="877" customFormat="false" ht="14.25" hidden="false" customHeight="true" outlineLevel="0" collapsed="false">
      <c r="A877" s="1"/>
      <c r="B877" s="1" t="s">
        <v>984</v>
      </c>
      <c r="C877" s="1" t="n">
        <v>17</v>
      </c>
      <c r="E877" s="11" t="s">
        <v>42</v>
      </c>
      <c r="F877" s="11" t="str">
        <f aca="false">IFERROR(__xludf.dummyfunction("GOOGLETRANSLATE(B877,""en"",""ar"")"),"على وجه التحديد")</f>
        <v>على وجه التحديد</v>
      </c>
      <c r="G877" s="3" t="n">
        <v>0</v>
      </c>
      <c r="H877" s="3" t="n">
        <v>0</v>
      </c>
    </row>
    <row r="878" customFormat="false" ht="14.25" hidden="false" customHeight="true" outlineLevel="0" collapsed="false">
      <c r="A878" s="1"/>
      <c r="B878" s="1" t="s">
        <v>985</v>
      </c>
      <c r="C878" s="1" t="n">
        <v>17</v>
      </c>
      <c r="E878" s="11" t="s">
        <v>94</v>
      </c>
      <c r="F878" s="11" t="str">
        <f aca="false">IFERROR(__xludf.dummyfunction("GOOGLETRANSLATE(B878,""en"",""ar"")"),"يقف")</f>
        <v>يقف</v>
      </c>
      <c r="G878" s="3" t="n">
        <v>0</v>
      </c>
      <c r="H878" s="3" t="n">
        <v>0</v>
      </c>
    </row>
    <row r="879" customFormat="false" ht="14.25" hidden="false" customHeight="true" outlineLevel="0" collapsed="false">
      <c r="A879" s="1"/>
      <c r="B879" s="1" t="s">
        <v>986</v>
      </c>
      <c r="C879" s="1" t="n">
        <v>17</v>
      </c>
      <c r="E879" s="11" t="s">
        <v>79</v>
      </c>
      <c r="F879" s="11" t="str">
        <f aca="false">IFERROR(__xludf.dummyfunction("GOOGLETRANSLATE(B879,""en"",""ar"")"),"تعليم")</f>
        <v>تعليم</v>
      </c>
      <c r="G879" s="3" t="n">
        <v>0</v>
      </c>
      <c r="H879" s="3" t="n">
        <v>0</v>
      </c>
    </row>
    <row r="880" customFormat="false" ht="14.25" hidden="false" customHeight="true" outlineLevel="0" collapsed="false">
      <c r="A880" s="1"/>
      <c r="B880" s="1" t="s">
        <v>987</v>
      </c>
      <c r="C880" s="1" t="n">
        <v>17</v>
      </c>
      <c r="E880" s="11" t="s">
        <v>179</v>
      </c>
      <c r="F880" s="11" t="str">
        <f aca="false">IFERROR(__xludf.dummyfunction("GOOGLETRANSLATE(B880,""en"",""ar"")"),"دافئ")</f>
        <v>دافئ</v>
      </c>
      <c r="G880" s="3" t="n">
        <v>0</v>
      </c>
      <c r="H880" s="3" t="n">
        <v>0</v>
      </c>
    </row>
    <row r="881" customFormat="false" ht="14.25" hidden="false" customHeight="true" outlineLevel="0" collapsed="false">
      <c r="A881" s="1"/>
      <c r="B881" s="1" t="s">
        <v>988</v>
      </c>
      <c r="C881" s="1" t="n">
        <v>17</v>
      </c>
      <c r="E881" s="11" t="s">
        <v>112</v>
      </c>
      <c r="F881" s="11" t="str">
        <f aca="false">IFERROR(__xludf.dummyfunction("GOOGLETRANSLATE(B881,""en"",""ar"")"),"رائع")</f>
        <v>رائع</v>
      </c>
      <c r="G881" s="3" t="n">
        <v>0</v>
      </c>
      <c r="H881" s="3" t="n">
        <v>0</v>
      </c>
    </row>
    <row r="882" customFormat="false" ht="14.25" hidden="false" customHeight="true" outlineLevel="0" collapsed="false">
      <c r="A882" s="1"/>
      <c r="B882" s="1" t="s">
        <v>989</v>
      </c>
      <c r="C882" s="1" t="n">
        <v>17</v>
      </c>
      <c r="E882" s="11" t="s">
        <v>235</v>
      </c>
      <c r="F882" s="11" t="str">
        <f aca="false">IFERROR(__xludf.dummyfunction("GOOGLETRANSLATE(B882,""en"",""ar"")"),"صغيرة")</f>
        <v>صغيرة</v>
      </c>
      <c r="G882" s="3" t="n">
        <v>0</v>
      </c>
      <c r="H882" s="3" t="n">
        <v>0</v>
      </c>
    </row>
    <row r="883" customFormat="false" ht="14.25" hidden="false" customHeight="true" outlineLevel="0" collapsed="false">
      <c r="A883" s="1"/>
      <c r="B883" s="1" t="s">
        <v>990</v>
      </c>
      <c r="C883" s="1" t="n">
        <v>16</v>
      </c>
      <c r="E883" s="11" t="s">
        <v>42</v>
      </c>
      <c r="F883" s="11" t="str">
        <f aca="false">IFERROR(__xludf.dummyfunction("GOOGLETRANSLATE(B883,""en"",""ar"")"),"امام")</f>
        <v>امام</v>
      </c>
      <c r="G883" s="3" t="n">
        <v>0</v>
      </c>
      <c r="H883" s="3" t="n">
        <v>0</v>
      </c>
    </row>
    <row r="884" customFormat="false" ht="14.25" hidden="false" customHeight="true" outlineLevel="0" collapsed="false">
      <c r="A884" s="1"/>
      <c r="B884" s="1" t="s">
        <v>991</v>
      </c>
      <c r="C884" s="1" t="n">
        <v>16</v>
      </c>
      <c r="E884" s="11" t="s">
        <v>119</v>
      </c>
      <c r="F884" s="11" t="str">
        <f aca="false">IFERROR(__xludf.dummyfunction("GOOGLETRANSLATE(B884,""en"",""ar"")"),"فرشاة")</f>
        <v>فرشاة</v>
      </c>
      <c r="G884" s="3" t="n">
        <v>0</v>
      </c>
      <c r="H884" s="3" t="n">
        <v>0</v>
      </c>
    </row>
    <row r="885" customFormat="false" ht="14.25" hidden="false" customHeight="true" outlineLevel="0" collapsed="false">
      <c r="A885" s="1"/>
      <c r="B885" s="1" t="s">
        <v>992</v>
      </c>
      <c r="C885" s="1" t="n">
        <v>16</v>
      </c>
      <c r="E885" s="11" t="s">
        <v>79</v>
      </c>
      <c r="F885" s="11" t="str">
        <f aca="false">IFERROR(__xludf.dummyfunction("GOOGLETRANSLATE(B885,""en"",""ar"")"),"زنزانة")</f>
        <v>زنزانة</v>
      </c>
      <c r="G885" s="3" t="n">
        <v>0</v>
      </c>
      <c r="H885" s="3" t="n">
        <v>0</v>
      </c>
    </row>
    <row r="886" customFormat="false" ht="14.25" hidden="false" customHeight="true" outlineLevel="0" collapsed="false">
      <c r="A886" s="1"/>
      <c r="B886" s="1" t="s">
        <v>993</v>
      </c>
      <c r="C886" s="1" t="n">
        <v>16</v>
      </c>
      <c r="E886" s="11" t="s">
        <v>119</v>
      </c>
      <c r="F886" s="11" t="str">
        <f aca="false">IFERROR(__xludf.dummyfunction("GOOGLETRANSLATE(B886,""en"",""ar"")"),"زوج")</f>
        <v>زوج</v>
      </c>
      <c r="G886" s="3" t="n">
        <v>0</v>
      </c>
      <c r="H886" s="3" t="n">
        <v>0</v>
      </c>
    </row>
    <row r="887" customFormat="false" ht="14.25" hidden="false" customHeight="true" outlineLevel="0" collapsed="false">
      <c r="A887" s="1"/>
      <c r="B887" s="1" t="s">
        <v>994</v>
      </c>
      <c r="C887" s="1" t="n">
        <v>16</v>
      </c>
      <c r="E887" s="11" t="s">
        <v>42</v>
      </c>
      <c r="F887" s="11" t="str">
        <f aca="false">IFERROR(__xludf.dummyfunction("GOOGLETRANSLATE(B887,""en"",""ar"")"),"اليومي")</f>
        <v>اليومي</v>
      </c>
      <c r="G887" s="3" t="n">
        <v>0</v>
      </c>
      <c r="H887" s="3" t="n">
        <v>0</v>
      </c>
    </row>
    <row r="888" customFormat="false" ht="14.25" hidden="false" customHeight="true" outlineLevel="0" collapsed="false">
      <c r="A888" s="1"/>
      <c r="B888" s="1" t="s">
        <v>995</v>
      </c>
      <c r="C888" s="1" t="n">
        <v>16</v>
      </c>
      <c r="E888" s="11" t="s">
        <v>79</v>
      </c>
      <c r="F888" s="11" t="str">
        <f aca="false">IFERROR(__xludf.dummyfunction("GOOGLETRANSLATE(B888,""en"",""ar"")"),"تاجر")</f>
        <v>تاجر</v>
      </c>
      <c r="G888" s="3" t="n">
        <v>0</v>
      </c>
      <c r="H888" s="3" t="n">
        <v>0</v>
      </c>
    </row>
    <row r="889" customFormat="false" ht="14.25" hidden="false" customHeight="true" outlineLevel="0" collapsed="false">
      <c r="A889" s="1"/>
      <c r="B889" s="1" t="s">
        <v>996</v>
      </c>
      <c r="C889" s="1" t="n">
        <v>16</v>
      </c>
      <c r="E889" s="11" t="s">
        <v>119</v>
      </c>
      <c r="F889" s="11" t="str">
        <f aca="false">IFERROR(__xludf.dummyfunction("GOOGLETRANSLATE(B889,""en"",""ar"")"),"النقاش")</f>
        <v>النقاش</v>
      </c>
      <c r="G889" s="3" t="n">
        <v>0</v>
      </c>
      <c r="H889" s="3" t="n">
        <v>0</v>
      </c>
    </row>
    <row r="890" customFormat="false" ht="14.25" hidden="false" customHeight="true" outlineLevel="0" collapsed="false">
      <c r="A890" s="1"/>
      <c r="B890" s="1" t="s">
        <v>997</v>
      </c>
      <c r="C890" s="1" t="n">
        <v>16</v>
      </c>
      <c r="E890" s="11" t="s">
        <v>12</v>
      </c>
      <c r="F890" s="11" t="str">
        <f aca="false">IFERROR(__xludf.dummyfunction("GOOGLETRANSLATE(B890,""en"",""ar"")"),"يكتشف")</f>
        <v>يكتشف</v>
      </c>
      <c r="G890" s="3" t="n">
        <v>0</v>
      </c>
      <c r="H890" s="3" t="n">
        <v>0</v>
      </c>
    </row>
    <row r="891" customFormat="false" ht="14.25" hidden="false" customHeight="true" outlineLevel="0" collapsed="false">
      <c r="A891" s="1"/>
      <c r="B891" s="1" t="s">
        <v>998</v>
      </c>
      <c r="C891" s="1" t="n">
        <v>16</v>
      </c>
      <c r="E891" s="11" t="s">
        <v>12</v>
      </c>
      <c r="F891" s="11" t="str">
        <f aca="false">IFERROR(__xludf.dummyfunction("GOOGLETRANSLATE(B891,""en"",""ar"")"),"التأكد من")</f>
        <v>التأكد من</v>
      </c>
      <c r="G891" s="3" t="n">
        <v>0</v>
      </c>
      <c r="H891" s="3" t="n">
        <v>0</v>
      </c>
    </row>
    <row r="892" customFormat="false" ht="14.25" hidden="false" customHeight="true" outlineLevel="0" collapsed="false">
      <c r="A892" s="1"/>
      <c r="B892" s="1" t="s">
        <v>999</v>
      </c>
      <c r="C892" s="1" t="n">
        <v>16</v>
      </c>
      <c r="E892" s="11" t="s">
        <v>119</v>
      </c>
      <c r="F892" s="11" t="str">
        <f aca="false">IFERROR(__xludf.dummyfunction("GOOGLETRANSLATE(B892,""en"",""ar"")"),"خروج")</f>
        <v>خروج</v>
      </c>
      <c r="G892" s="3" t="n">
        <v>0</v>
      </c>
      <c r="H892" s="3" t="n">
        <v>0</v>
      </c>
    </row>
    <row r="893" customFormat="false" ht="14.25" hidden="false" customHeight="true" outlineLevel="0" collapsed="false">
      <c r="A893" s="1"/>
      <c r="B893" s="1" t="s">
        <v>1000</v>
      </c>
      <c r="C893" s="1" t="n">
        <v>16</v>
      </c>
      <c r="E893" s="11" t="s">
        <v>12</v>
      </c>
      <c r="F893" s="11" t="str">
        <f aca="false">IFERROR(__xludf.dummyfunction("GOOGLETRANSLATE(B893,""en"",""ar"")"),"توقع")</f>
        <v>توقع</v>
      </c>
      <c r="G893" s="3" t="n">
        <v>0</v>
      </c>
      <c r="H893" s="3" t="n">
        <v>0</v>
      </c>
    </row>
    <row r="894" customFormat="false" ht="14.25" hidden="false" customHeight="true" outlineLevel="0" collapsed="false">
      <c r="A894" s="1"/>
      <c r="B894" s="1" t="s">
        <v>1001</v>
      </c>
      <c r="C894" s="1" t="n">
        <v>16</v>
      </c>
      <c r="E894" s="11" t="s">
        <v>87</v>
      </c>
      <c r="F894" s="11" t="str">
        <f aca="false">IFERROR(__xludf.dummyfunction("GOOGLETRANSLATE(B894,""en"",""ar"")"),"يختبر")</f>
        <v>يختبر</v>
      </c>
      <c r="G894" s="3" t="n">
        <v>0</v>
      </c>
      <c r="H894" s="3" t="n">
        <v>0</v>
      </c>
    </row>
    <row r="895" customFormat="false" ht="14.25" hidden="false" customHeight="true" outlineLevel="0" collapsed="false">
      <c r="A895" s="1"/>
      <c r="B895" s="1" t="s">
        <v>1002</v>
      </c>
      <c r="C895" s="1" t="n">
        <v>16</v>
      </c>
      <c r="E895" s="11" t="s">
        <v>94</v>
      </c>
      <c r="F895" s="11" t="str">
        <f aca="false">IFERROR(__xludf.dummyfunction("GOOGLETRANSLATE(B895,""en"",""ar"")"),"يفشل")</f>
        <v>يفشل</v>
      </c>
      <c r="G895" s="3" t="n">
        <v>0</v>
      </c>
      <c r="H895" s="3" t="n">
        <v>0</v>
      </c>
    </row>
    <row r="896" customFormat="false" ht="14.25" hidden="false" customHeight="true" outlineLevel="0" collapsed="false">
      <c r="A896" s="1"/>
      <c r="B896" s="1" t="s">
        <v>1003</v>
      </c>
      <c r="C896" s="1" t="n">
        <v>16</v>
      </c>
      <c r="E896" s="11" t="s">
        <v>79</v>
      </c>
      <c r="F896" s="11" t="str">
        <f aca="false">IFERROR(__xludf.dummyfunction("GOOGLETRANSLATE(B896,""en"",""ar"")"),"العثور على")</f>
        <v>العثور على</v>
      </c>
      <c r="G896" s="3" t="n">
        <v>0</v>
      </c>
      <c r="H896" s="3" t="n">
        <v>0</v>
      </c>
    </row>
    <row r="897" customFormat="false" ht="14.25" hidden="false" customHeight="true" outlineLevel="0" collapsed="false">
      <c r="A897" s="1"/>
      <c r="B897" s="1" t="s">
        <v>1004</v>
      </c>
      <c r="C897" s="1" t="n">
        <v>16</v>
      </c>
      <c r="E897" s="11" t="s">
        <v>1005</v>
      </c>
      <c r="F897" s="11" t="str">
        <f aca="false">IFERROR(__xludf.dummyfunction("GOOGLETRANSLATE(B897,""en"",""ar"")"),"أمام")</f>
        <v>أمام</v>
      </c>
      <c r="G897" s="3" t="n">
        <v>0</v>
      </c>
      <c r="H897" s="3" t="n">
        <v>0</v>
      </c>
    </row>
    <row r="898" customFormat="false" ht="14.25" hidden="false" customHeight="true" outlineLevel="0" collapsed="false">
      <c r="A898" s="1"/>
      <c r="B898" s="1" t="s">
        <v>1006</v>
      </c>
      <c r="C898" s="1" t="n">
        <v>16</v>
      </c>
      <c r="E898" s="11" t="s">
        <v>119</v>
      </c>
      <c r="F898" s="11" t="str">
        <f aca="false">IFERROR(__xludf.dummyfunction("GOOGLETRANSLATE(B898,""en"",""ar"")"),"وظيفة")</f>
        <v>وظيفة</v>
      </c>
      <c r="G898" s="3" t="n">
        <v>0</v>
      </c>
      <c r="H898" s="3" t="n">
        <v>0</v>
      </c>
    </row>
    <row r="899" customFormat="false" ht="14.25" hidden="false" customHeight="true" outlineLevel="0" collapsed="false">
      <c r="A899" s="1"/>
      <c r="B899" s="1" t="s">
        <v>1007</v>
      </c>
      <c r="C899" s="1" t="n">
        <v>16</v>
      </c>
      <c r="E899" s="11" t="s">
        <v>77</v>
      </c>
      <c r="F899" s="11" t="str">
        <f aca="false">IFERROR(__xludf.dummyfunction("GOOGLETRANSLATE(B899,""en"",""ar"")"),"ثقيل")</f>
        <v>ثقيل</v>
      </c>
      <c r="G899" s="3" t="n">
        <v>0</v>
      </c>
      <c r="H899" s="3" t="n">
        <v>0</v>
      </c>
    </row>
    <row r="900" customFormat="false" ht="14.25" hidden="false" customHeight="true" outlineLevel="0" collapsed="false">
      <c r="A900" s="1"/>
      <c r="B900" s="1" t="s">
        <v>1008</v>
      </c>
      <c r="C900" s="1" t="n">
        <v>16</v>
      </c>
      <c r="E900" s="11" t="s">
        <v>1009</v>
      </c>
      <c r="F900" s="11" t="str">
        <f aca="false">IFERROR(__xludf.dummyfunction("GOOGLETRANSLATE(B900,""en"",""ar"")"),"مرحبا")</f>
        <v>مرحبا</v>
      </c>
      <c r="G900" s="3" t="n">
        <v>0</v>
      </c>
      <c r="H900" s="3" t="n">
        <v>0</v>
      </c>
    </row>
    <row r="901" customFormat="false" ht="14.25" hidden="false" customHeight="true" outlineLevel="0" collapsed="false">
      <c r="A901" s="1"/>
      <c r="B901" s="1" t="s">
        <v>1010</v>
      </c>
      <c r="C901" s="1" t="n">
        <v>16</v>
      </c>
      <c r="E901" s="11" t="s">
        <v>42</v>
      </c>
      <c r="F901" s="11" t="str">
        <f aca="false">IFERROR(__xludf.dummyfunction("GOOGLETRANSLATE(B901,""en"",""ar"")"),"جدا")</f>
        <v>جدا</v>
      </c>
      <c r="G901" s="3" t="n">
        <v>0</v>
      </c>
      <c r="H901" s="3" t="n">
        <v>0</v>
      </c>
    </row>
    <row r="902" customFormat="false" ht="14.25" hidden="false" customHeight="true" outlineLevel="0" collapsed="false">
      <c r="A902" s="1"/>
      <c r="B902" s="1" t="s">
        <v>1011</v>
      </c>
      <c r="C902" s="1" t="n">
        <v>16</v>
      </c>
      <c r="E902" s="11" t="s">
        <v>42</v>
      </c>
      <c r="F902" s="11" t="str">
        <f aca="false">IFERROR(__xludf.dummyfunction("GOOGLETRANSLATE(B902,""en"",""ar"")"),"فورا")</f>
        <v>فورا</v>
      </c>
      <c r="G902" s="3" t="n">
        <v>0</v>
      </c>
      <c r="H902" s="3" t="n">
        <v>0</v>
      </c>
    </row>
    <row r="903" customFormat="false" ht="14.25" hidden="false" customHeight="true" outlineLevel="0" collapsed="false">
      <c r="A903" s="1"/>
      <c r="B903" s="1" t="s">
        <v>1012</v>
      </c>
      <c r="C903" s="1" t="n">
        <v>16</v>
      </c>
      <c r="E903" s="11" t="s">
        <v>112</v>
      </c>
      <c r="F903" s="11" t="str">
        <f aca="false">IFERROR(__xludf.dummyfunction("GOOGLETRANSLATE(B903,""en"",""ar"")"),"مستحيل")</f>
        <v>مستحيل</v>
      </c>
      <c r="G903" s="3" t="n">
        <v>0</v>
      </c>
      <c r="H903" s="3" t="n">
        <v>0</v>
      </c>
    </row>
    <row r="904" customFormat="false" ht="14.25" hidden="false" customHeight="true" outlineLevel="0" collapsed="false">
      <c r="A904" s="1"/>
      <c r="B904" s="1" t="s">
        <v>1013</v>
      </c>
      <c r="C904" s="1" t="n">
        <v>16</v>
      </c>
      <c r="E904" s="11" t="s">
        <v>12</v>
      </c>
      <c r="F904" s="11" t="str">
        <f aca="false">IFERROR(__xludf.dummyfunction("GOOGLETRANSLATE(B904,""en"",""ar"")"),"استثمار")</f>
        <v>استثمار</v>
      </c>
      <c r="G904" s="3" t="n">
        <v>0</v>
      </c>
      <c r="H904" s="3" t="n">
        <v>0</v>
      </c>
    </row>
    <row r="905" customFormat="false" ht="14.25" hidden="false" customHeight="true" outlineLevel="0" collapsed="false">
      <c r="A905" s="1"/>
      <c r="B905" s="1" t="s">
        <v>1014</v>
      </c>
      <c r="C905" s="1" t="n">
        <v>16</v>
      </c>
      <c r="E905" s="11" t="s">
        <v>119</v>
      </c>
      <c r="F905" s="11" t="str">
        <f aca="false">IFERROR(__xludf.dummyfunction("GOOGLETRANSLATE(B905,""en"",""ar"")"),"قلة")</f>
        <v>قلة</v>
      </c>
      <c r="G905" s="3" t="n">
        <v>0</v>
      </c>
      <c r="H905" s="3" t="n">
        <v>0</v>
      </c>
    </row>
    <row r="906" customFormat="false" ht="14.25" hidden="false" customHeight="true" outlineLevel="0" collapsed="false">
      <c r="A906" s="1"/>
      <c r="B906" s="1" t="s">
        <v>1015</v>
      </c>
      <c r="C906" s="1" t="n">
        <v>16</v>
      </c>
      <c r="E906" s="11" t="s">
        <v>79</v>
      </c>
      <c r="F906" s="11" t="str">
        <f aca="false">IFERROR(__xludf.dummyfunction("GOOGLETRANSLATE(B906,""en"",""ar"")"),"بحيرة")</f>
        <v>بحيرة</v>
      </c>
      <c r="G906" s="3" t="n">
        <v>0</v>
      </c>
      <c r="H906" s="3" t="n">
        <v>0</v>
      </c>
    </row>
    <row r="907" customFormat="false" ht="14.25" hidden="false" customHeight="true" outlineLevel="0" collapsed="false">
      <c r="A907" s="1"/>
      <c r="B907" s="1" t="s">
        <v>1016</v>
      </c>
      <c r="C907" s="1" t="n">
        <v>16</v>
      </c>
      <c r="E907" s="11" t="s">
        <v>94</v>
      </c>
      <c r="F907" s="11" t="str">
        <f aca="false">IFERROR(__xludf.dummyfunction("GOOGLETRANSLATE(B907,""en"",""ar"")"),"قيادة")</f>
        <v>قيادة</v>
      </c>
      <c r="G907" s="3" t="n">
        <v>0</v>
      </c>
      <c r="H907" s="3" t="n">
        <v>0</v>
      </c>
    </row>
    <row r="908" customFormat="false" ht="14.25" hidden="false" customHeight="true" outlineLevel="0" collapsed="false">
      <c r="A908" s="1"/>
      <c r="B908" s="1" t="s">
        <v>1017</v>
      </c>
      <c r="C908" s="1" t="n">
        <v>16</v>
      </c>
      <c r="E908" s="11" t="s">
        <v>94</v>
      </c>
      <c r="F908" s="11" t="str">
        <f aca="false">IFERROR(__xludf.dummyfunction("GOOGLETRANSLATE(B908,""en"",""ar"")"),"استمع")</f>
        <v>استمع</v>
      </c>
      <c r="G908" s="3" t="n">
        <v>0</v>
      </c>
      <c r="H908" s="3" t="n">
        <v>0</v>
      </c>
    </row>
    <row r="909" customFormat="false" ht="14.25" hidden="false" customHeight="true" outlineLevel="0" collapsed="false">
      <c r="A909" s="1"/>
      <c r="B909" s="1" t="s">
        <v>1018</v>
      </c>
      <c r="C909" s="1" t="n">
        <v>16</v>
      </c>
      <c r="E909" s="11" t="s">
        <v>148</v>
      </c>
      <c r="F909" s="11" t="str">
        <f aca="false">IFERROR(__xludf.dummyfunction("GOOGLETRANSLATE(B909,""en"",""ar"")"),"معيشة")</f>
        <v>معيشة</v>
      </c>
      <c r="G909" s="3" t="n">
        <v>0</v>
      </c>
      <c r="H909" s="3" t="n">
        <v>0</v>
      </c>
    </row>
    <row r="910" customFormat="false" ht="14.25" hidden="false" customHeight="true" outlineLevel="0" collapsed="false">
      <c r="A910" s="1"/>
      <c r="B910" s="1" t="s">
        <v>1019</v>
      </c>
      <c r="C910" s="1" t="n">
        <v>16</v>
      </c>
      <c r="E910" s="11" t="s">
        <v>79</v>
      </c>
      <c r="F910" s="11" t="str">
        <f aca="false">IFERROR(__xludf.dummyfunction("GOOGLETRANSLATE(B910,""en"",""ar"")"),"عضو")</f>
        <v>عضو</v>
      </c>
      <c r="G910" s="3" t="n">
        <v>0</v>
      </c>
      <c r="H910" s="3" t="n">
        <v>0</v>
      </c>
    </row>
    <row r="911" customFormat="false" ht="14.25" hidden="false" customHeight="true" outlineLevel="0" collapsed="false">
      <c r="A911" s="1"/>
      <c r="B911" s="1" t="s">
        <v>1020</v>
      </c>
      <c r="C911" s="1" t="n">
        <v>16</v>
      </c>
      <c r="E911" s="11" t="s">
        <v>79</v>
      </c>
      <c r="F911" s="11" t="str">
        <f aca="false">IFERROR(__xludf.dummyfunction("GOOGLETRANSLATE(B911,""en"",""ar"")"),"رسالة")</f>
        <v>رسالة</v>
      </c>
      <c r="G911" s="3" t="n">
        <v>0</v>
      </c>
      <c r="H911" s="3" t="n">
        <v>0</v>
      </c>
    </row>
    <row r="912" customFormat="false" ht="14.25" hidden="false" customHeight="true" outlineLevel="0" collapsed="false">
      <c r="A912" s="1"/>
      <c r="B912" s="1" t="s">
        <v>1021</v>
      </c>
      <c r="C912" s="1" t="n">
        <v>16</v>
      </c>
      <c r="E912" s="11" t="s">
        <v>79</v>
      </c>
      <c r="F912" s="11" t="str">
        <f aca="false">IFERROR(__xludf.dummyfunction("GOOGLETRANSLATE(B912,""en"",""ar"")"),"هاتف")</f>
        <v>هاتف</v>
      </c>
      <c r="G912" s="3" t="n">
        <v>0</v>
      </c>
      <c r="H912" s="3" t="n">
        <v>0</v>
      </c>
    </row>
    <row r="913" customFormat="false" ht="14.25" hidden="false" customHeight="true" outlineLevel="0" collapsed="false">
      <c r="A913" s="1"/>
      <c r="B913" s="1" t="s">
        <v>1022</v>
      </c>
      <c r="C913" s="1" t="n">
        <v>16</v>
      </c>
      <c r="E913" s="11" t="s">
        <v>119</v>
      </c>
      <c r="F913" s="11" t="str">
        <f aca="false">IFERROR(__xludf.dummyfunction("GOOGLETRANSLATE(B913,""en"",""ar"")"),"النبات")</f>
        <v>النبات</v>
      </c>
      <c r="G913" s="3" t="n">
        <v>0</v>
      </c>
      <c r="H913" s="3" t="n">
        <v>0</v>
      </c>
    </row>
    <row r="914" customFormat="false" ht="14.25" hidden="false" customHeight="true" outlineLevel="0" collapsed="false">
      <c r="A914" s="1"/>
      <c r="B914" s="1" t="s">
        <v>1023</v>
      </c>
      <c r="C914" s="1" t="n">
        <v>16</v>
      </c>
      <c r="E914" s="11" t="s">
        <v>148</v>
      </c>
      <c r="F914" s="11" t="str">
        <f aca="false">IFERROR(__xludf.dummyfunction("GOOGLETRANSLATE(B914,""en"",""ar"")"),"بلاستيك")</f>
        <v>بلاستيك</v>
      </c>
      <c r="G914" s="3" t="n">
        <v>0</v>
      </c>
      <c r="H914" s="3" t="n">
        <v>0</v>
      </c>
    </row>
    <row r="915" customFormat="false" ht="14.25" hidden="false" customHeight="true" outlineLevel="0" collapsed="false">
      <c r="A915" s="1"/>
      <c r="B915" s="1" t="s">
        <v>1024</v>
      </c>
      <c r="C915" s="1" t="n">
        <v>16</v>
      </c>
      <c r="E915" s="11" t="s">
        <v>12</v>
      </c>
      <c r="F915" s="11" t="str">
        <f aca="false">IFERROR(__xludf.dummyfunction("GOOGLETRANSLATE(B915,""en"",""ar"")"),"يقلل")</f>
        <v>يقلل</v>
      </c>
      <c r="G915" s="3" t="n">
        <v>0</v>
      </c>
      <c r="H915" s="3" t="n">
        <v>0</v>
      </c>
    </row>
    <row r="916" customFormat="false" ht="14.25" hidden="false" customHeight="true" outlineLevel="0" collapsed="false">
      <c r="A916" s="1"/>
      <c r="B916" s="1" t="s">
        <v>1025</v>
      </c>
      <c r="C916" s="1" t="n">
        <v>16</v>
      </c>
      <c r="E916" s="11" t="s">
        <v>42</v>
      </c>
      <c r="F916" s="11" t="str">
        <f aca="false">IFERROR(__xludf.dummyfunction("GOOGLETRANSLATE(B916,""en"",""ar"")"),"نسبيا")</f>
        <v>نسبيا</v>
      </c>
      <c r="G916" s="3" t="n">
        <v>0</v>
      </c>
      <c r="H916" s="3" t="n">
        <v>0</v>
      </c>
    </row>
    <row r="917" customFormat="false" ht="14.25" hidden="false" customHeight="true" outlineLevel="0" collapsed="false">
      <c r="A917" s="1"/>
      <c r="B917" s="1" t="s">
        <v>1026</v>
      </c>
      <c r="C917" s="1" t="n">
        <v>16</v>
      </c>
      <c r="E917" s="11" t="s">
        <v>79</v>
      </c>
      <c r="F917" s="11" t="str">
        <f aca="false">IFERROR(__xludf.dummyfunction("GOOGLETRANSLATE(B917,""en"",""ar"")"),"مشهد")</f>
        <v>مشهد</v>
      </c>
      <c r="G917" s="3" t="n">
        <v>0</v>
      </c>
      <c r="H917" s="3" t="n">
        <v>0</v>
      </c>
    </row>
    <row r="918" customFormat="false" ht="14.25" hidden="false" customHeight="true" outlineLevel="0" collapsed="false">
      <c r="A918" s="1"/>
      <c r="B918" s="1" t="s">
        <v>1027</v>
      </c>
      <c r="C918" s="1" t="n">
        <v>16</v>
      </c>
      <c r="E918" s="11" t="s">
        <v>112</v>
      </c>
      <c r="F918" s="11" t="str">
        <f aca="false">IFERROR(__xludf.dummyfunction("GOOGLETRANSLATE(B918,""en"",""ar"")"),"جدي")</f>
        <v>جدي</v>
      </c>
      <c r="G918" s="3" t="n">
        <v>0</v>
      </c>
      <c r="H918" s="3" t="n">
        <v>0</v>
      </c>
    </row>
    <row r="919" customFormat="false" ht="14.25" hidden="false" customHeight="true" outlineLevel="0" collapsed="false">
      <c r="A919" s="1"/>
      <c r="B919" s="1" t="s">
        <v>1028</v>
      </c>
      <c r="C919" s="1" t="n">
        <v>16</v>
      </c>
      <c r="E919" s="11" t="s">
        <v>42</v>
      </c>
      <c r="F919" s="11" t="str">
        <f aca="false">IFERROR(__xludf.dummyfunction("GOOGLETRANSLATE(B919,""en"",""ar"")"),"ببطء")</f>
        <v>ببطء</v>
      </c>
      <c r="G919" s="3" t="n">
        <v>0</v>
      </c>
      <c r="H919" s="3" t="n">
        <v>0</v>
      </c>
    </row>
    <row r="920" customFormat="false" ht="14.25" hidden="false" customHeight="true" outlineLevel="0" collapsed="false">
      <c r="A920" s="1"/>
      <c r="B920" s="1" t="s">
        <v>1029</v>
      </c>
      <c r="C920" s="1" t="n">
        <v>16</v>
      </c>
      <c r="E920" s="11" t="s">
        <v>12</v>
      </c>
      <c r="F920" s="11" t="str">
        <f aca="false">IFERROR(__xludf.dummyfunction("GOOGLETRANSLATE(B920,""en"",""ar"")"),"تحدث")</f>
        <v>تحدث</v>
      </c>
      <c r="G920" s="3" t="n">
        <v>0</v>
      </c>
      <c r="H920" s="3" t="n">
        <v>0</v>
      </c>
    </row>
    <row r="921" customFormat="false" ht="14.25" hidden="false" customHeight="true" outlineLevel="0" collapsed="false">
      <c r="A921" s="1"/>
      <c r="B921" s="1" t="s">
        <v>1030</v>
      </c>
      <c r="C921" s="1" t="n">
        <v>16</v>
      </c>
      <c r="E921" s="11" t="s">
        <v>119</v>
      </c>
      <c r="F921" s="11" t="str">
        <f aca="false">IFERROR(__xludf.dummyfunction("GOOGLETRANSLATE(B921,""en"",""ar"")"),"بقعة")</f>
        <v>بقعة</v>
      </c>
      <c r="G921" s="3" t="n">
        <v>0</v>
      </c>
      <c r="H921" s="3" t="n">
        <v>0</v>
      </c>
    </row>
    <row r="922" customFormat="false" ht="14.25" hidden="false" customHeight="true" outlineLevel="0" collapsed="false">
      <c r="A922" s="1"/>
      <c r="B922" s="1" t="s">
        <v>1031</v>
      </c>
      <c r="C922" s="1" t="n">
        <v>16</v>
      </c>
      <c r="E922" s="11" t="s">
        <v>119</v>
      </c>
      <c r="F922" s="11" t="str">
        <f aca="false">IFERROR(__xludf.dummyfunction("GOOGLETRANSLATE(B922,""en"",""ar"")"),"الصيف")</f>
        <v>الصيف</v>
      </c>
      <c r="G922" s="3" t="n">
        <v>0</v>
      </c>
      <c r="H922" s="3" t="n">
        <v>0</v>
      </c>
    </row>
    <row r="923" customFormat="false" ht="14.25" hidden="false" customHeight="true" outlineLevel="0" collapsed="false">
      <c r="A923" s="1"/>
      <c r="B923" s="1" t="s">
        <v>1032</v>
      </c>
      <c r="C923" s="1" t="n">
        <v>16</v>
      </c>
      <c r="E923" s="11" t="s">
        <v>119</v>
      </c>
      <c r="F923" s="11" t="str">
        <f aca="false">IFERROR(__xludf.dummyfunction("GOOGLETRANSLATE(B923,""en"",""ar"")"),"المذاق")</f>
        <v>المذاق</v>
      </c>
      <c r="G923" s="3" t="n">
        <v>0</v>
      </c>
      <c r="H923" s="3" t="n">
        <v>0</v>
      </c>
    </row>
    <row r="924" customFormat="false" ht="14.25" hidden="false" customHeight="true" outlineLevel="0" collapsed="false">
      <c r="A924" s="1"/>
      <c r="B924" s="1" t="s">
        <v>1033</v>
      </c>
      <c r="C924" s="1" t="n">
        <v>16</v>
      </c>
      <c r="E924" s="11" t="s">
        <v>119</v>
      </c>
      <c r="F924" s="11" t="str">
        <f aca="false">IFERROR(__xludf.dummyfunction("GOOGLETRANSLATE(B924,""en"",""ar"")"),"سمة")</f>
        <v>سمة</v>
      </c>
      <c r="G924" s="3" t="n">
        <v>0</v>
      </c>
      <c r="H924" s="3" t="n">
        <v>0</v>
      </c>
    </row>
    <row r="925" customFormat="false" ht="14.25" hidden="false" customHeight="true" outlineLevel="0" collapsed="false">
      <c r="A925" s="1"/>
      <c r="B925" s="1" t="s">
        <v>1034</v>
      </c>
      <c r="C925" s="1" t="n">
        <v>16</v>
      </c>
      <c r="E925" s="11" t="s">
        <v>32</v>
      </c>
      <c r="F925" s="11" t="str">
        <f aca="false">IFERROR(__xludf.dummyfunction("GOOGLETRANSLATE(B925,""en"",""ar"")"),"من اتجاه")</f>
        <v>من اتجاه</v>
      </c>
      <c r="G925" s="3" t="n">
        <v>0</v>
      </c>
      <c r="H925" s="3" t="n">
        <v>0</v>
      </c>
    </row>
    <row r="926" customFormat="false" ht="14.25" hidden="false" customHeight="true" outlineLevel="0" collapsed="false">
      <c r="A926" s="1"/>
      <c r="B926" s="1" t="s">
        <v>1035</v>
      </c>
      <c r="C926" s="1" t="n">
        <v>16</v>
      </c>
      <c r="E926" s="11" t="s">
        <v>119</v>
      </c>
      <c r="F926" s="11" t="str">
        <f aca="false">IFERROR(__xludf.dummyfunction("GOOGLETRANSLATE(B926,""en"",""ar"")"),"مسار")</f>
        <v>مسار</v>
      </c>
      <c r="G926" s="3" t="n">
        <v>0</v>
      </c>
      <c r="H926" s="3" t="n">
        <v>0</v>
      </c>
    </row>
    <row r="927" customFormat="false" ht="14.25" hidden="false" customHeight="true" outlineLevel="0" collapsed="false">
      <c r="A927" s="1"/>
      <c r="B927" s="1" t="s">
        <v>1036</v>
      </c>
      <c r="C927" s="1" t="n">
        <v>16</v>
      </c>
      <c r="E927" s="11" t="s">
        <v>235</v>
      </c>
      <c r="F927" s="11" t="str">
        <f aca="false">IFERROR(__xludf.dummyfunction("GOOGLETRANSLATE(B927,""en"",""ar"")"),"ذو قيمة")</f>
        <v>ذو قيمة</v>
      </c>
      <c r="G927" s="3" t="n">
        <v>0</v>
      </c>
      <c r="H927" s="3" t="n">
        <v>0</v>
      </c>
    </row>
    <row r="928" customFormat="false" ht="14.25" hidden="false" customHeight="true" outlineLevel="0" collapsed="false">
      <c r="A928" s="1"/>
      <c r="B928" s="1" t="s">
        <v>1037</v>
      </c>
      <c r="C928" s="1" t="n">
        <v>16</v>
      </c>
      <c r="E928" s="11" t="s">
        <v>1038</v>
      </c>
      <c r="F928" s="11" t="str">
        <f aca="false">IFERROR(__xludf.dummyfunction("GOOGLETRANSLATE(B928,""en"",""ar"")"),"ما من أي وقت مضى")</f>
        <v>ما من أي وقت مضى</v>
      </c>
      <c r="G928" s="3" t="n">
        <v>0</v>
      </c>
      <c r="H928" s="3" t="n">
        <v>0</v>
      </c>
    </row>
    <row r="929" customFormat="false" ht="14.25" hidden="false" customHeight="true" outlineLevel="0" collapsed="false">
      <c r="A929" s="1"/>
      <c r="B929" s="1" t="s">
        <v>1039</v>
      </c>
      <c r="C929" s="1" t="n">
        <v>16</v>
      </c>
      <c r="E929" s="11" t="s">
        <v>119</v>
      </c>
      <c r="F929" s="11" t="str">
        <f aca="false">IFERROR(__xludf.dummyfunction("GOOGLETRANSLATE(B929,""en"",""ar"")"),"جناح")</f>
        <v>جناح</v>
      </c>
      <c r="G929" s="3" t="n">
        <v>0</v>
      </c>
      <c r="H929" s="3" t="n">
        <v>0</v>
      </c>
    </row>
    <row r="930" customFormat="false" ht="14.25" hidden="false" customHeight="true" outlineLevel="0" collapsed="false">
      <c r="A930" s="1"/>
      <c r="B930" s="1" t="s">
        <v>1040</v>
      </c>
      <c r="C930" s="1" t="n">
        <v>16</v>
      </c>
      <c r="E930" s="11" t="s">
        <v>94</v>
      </c>
      <c r="F930" s="11" t="str">
        <f aca="false">IFERROR(__xludf.dummyfunction("GOOGLETRANSLATE(B930,""en"",""ar"")"),"قلق")</f>
        <v>قلق</v>
      </c>
      <c r="G930" s="3" t="n">
        <v>0</v>
      </c>
      <c r="H930" s="3" t="n">
        <v>0</v>
      </c>
    </row>
    <row r="931" customFormat="false" ht="14.25" hidden="false" customHeight="true" outlineLevel="0" collapsed="false">
      <c r="A931" s="1"/>
      <c r="B931" s="1" t="s">
        <v>1041</v>
      </c>
      <c r="C931" s="1" t="n">
        <v>15</v>
      </c>
      <c r="E931" s="11" t="s">
        <v>12</v>
      </c>
      <c r="F931" s="11" t="str">
        <f aca="false">IFERROR(__xludf.dummyfunction("GOOGLETRANSLATE(B931,""en"",""ar"")"),"يظهر")</f>
        <v>يظهر</v>
      </c>
      <c r="G931" s="3" t="n">
        <v>0</v>
      </c>
      <c r="H931" s="3" t="n">
        <v>0</v>
      </c>
    </row>
    <row r="932" customFormat="false" ht="14.25" hidden="false" customHeight="true" outlineLevel="0" collapsed="false">
      <c r="A932" s="1"/>
      <c r="B932" s="1" t="s">
        <v>1042</v>
      </c>
      <c r="C932" s="1" t="n">
        <v>15</v>
      </c>
      <c r="E932" s="11" t="s">
        <v>79</v>
      </c>
      <c r="F932" s="11" t="str">
        <f aca="false">IFERROR(__xludf.dummyfunction("GOOGLETRANSLATE(B932,""en"",""ar"")"),"مظهر خارجي")</f>
        <v>مظهر خارجي</v>
      </c>
      <c r="G932" s="3" t="n">
        <v>0</v>
      </c>
      <c r="H932" s="3" t="n">
        <v>0</v>
      </c>
    </row>
    <row r="933" customFormat="false" ht="14.25" hidden="false" customHeight="true" outlineLevel="0" collapsed="false">
      <c r="A933" s="1"/>
      <c r="B933" s="1" t="s">
        <v>1043</v>
      </c>
      <c r="C933" s="1" t="n">
        <v>15</v>
      </c>
      <c r="E933" s="11" t="s">
        <v>79</v>
      </c>
      <c r="F933" s="11" t="str">
        <f aca="false">IFERROR(__xludf.dummyfunction("GOOGLETRANSLATE(B933,""en"",""ar"")"),"منظمة")</f>
        <v>منظمة</v>
      </c>
      <c r="G933" s="3" t="n">
        <v>0</v>
      </c>
      <c r="H933" s="3" t="n">
        <v>0</v>
      </c>
    </row>
    <row r="934" customFormat="false" ht="14.25" hidden="false" customHeight="true" outlineLevel="0" collapsed="false">
      <c r="A934" s="1"/>
      <c r="B934" s="1" t="s">
        <v>1044</v>
      </c>
      <c r="C934" s="1" t="n">
        <v>15</v>
      </c>
      <c r="E934" s="11" t="s">
        <v>119</v>
      </c>
      <c r="F934" s="11" t="str">
        <f aca="false">IFERROR(__xludf.dummyfunction("GOOGLETRANSLATE(B934,""en"",""ar"")"),"مخ")</f>
        <v>مخ</v>
      </c>
      <c r="G934" s="3" t="n">
        <v>0</v>
      </c>
      <c r="H934" s="3" t="n">
        <v>0</v>
      </c>
    </row>
    <row r="935" customFormat="false" ht="14.25" hidden="false" customHeight="true" outlineLevel="0" collapsed="false">
      <c r="A935" s="1"/>
      <c r="B935" s="1" t="s">
        <v>1045</v>
      </c>
      <c r="C935" s="1" t="n">
        <v>15</v>
      </c>
      <c r="E935" s="11" t="s">
        <v>119</v>
      </c>
      <c r="F935" s="11" t="str">
        <f aca="false">IFERROR(__xludf.dummyfunction("GOOGLETRANSLATE(B935,""en"",""ar"")"),"زر")</f>
        <v>زر</v>
      </c>
      <c r="G935" s="3" t="n">
        <v>0</v>
      </c>
      <c r="H935" s="3" t="n">
        <v>0</v>
      </c>
    </row>
    <row r="936" customFormat="false" ht="14.25" hidden="false" customHeight="true" outlineLevel="0" collapsed="false">
      <c r="A936" s="1"/>
      <c r="B936" s="1" t="s">
        <v>1046</v>
      </c>
      <c r="C936" s="1" t="n">
        <v>15</v>
      </c>
      <c r="E936" s="11" t="s">
        <v>119</v>
      </c>
      <c r="F936" s="11" t="str">
        <f aca="false">IFERROR(__xludf.dummyfunction("GOOGLETRANSLATE(B936,""en"",""ar"")"),"انقر")</f>
        <v>انقر</v>
      </c>
      <c r="G936" s="3" t="n">
        <v>0</v>
      </c>
      <c r="H936" s="3" t="n">
        <v>0</v>
      </c>
    </row>
    <row r="937" customFormat="false" ht="14.25" hidden="false" customHeight="true" outlineLevel="0" collapsed="false">
      <c r="A937" s="1"/>
      <c r="B937" s="1" t="s">
        <v>1047</v>
      </c>
      <c r="C937" s="1" t="n">
        <v>15</v>
      </c>
      <c r="E937" s="11" t="s">
        <v>79</v>
      </c>
      <c r="F937" s="11" t="str">
        <f aca="false">IFERROR(__xludf.dummyfunction("GOOGLETRANSLATE(B937,""en"",""ar"")"),"مفهوم")</f>
        <v>مفهوم</v>
      </c>
      <c r="G937" s="3" t="n">
        <v>0</v>
      </c>
      <c r="H937" s="3" t="n">
        <v>0</v>
      </c>
    </row>
    <row r="938" customFormat="false" ht="14.25" hidden="false" customHeight="true" outlineLevel="0" collapsed="false">
      <c r="A938" s="1"/>
      <c r="B938" s="1" t="s">
        <v>1048</v>
      </c>
      <c r="C938" s="1" t="n">
        <v>15</v>
      </c>
      <c r="E938" s="11" t="s">
        <v>179</v>
      </c>
      <c r="F938" s="11" t="str">
        <f aca="false">IFERROR(__xludf.dummyfunction("GOOGLETRANSLATE(B938,""en"",""ar"")"),"صيح")</f>
        <v>صيح</v>
      </c>
      <c r="G938" s="3" t="n">
        <v>0</v>
      </c>
      <c r="H938" s="3" t="n">
        <v>0</v>
      </c>
    </row>
    <row r="939" customFormat="false" ht="14.25" hidden="false" customHeight="true" outlineLevel="0" collapsed="false">
      <c r="A939" s="1"/>
      <c r="B939" s="1" t="s">
        <v>1049</v>
      </c>
      <c r="C939" s="1" t="n">
        <v>15</v>
      </c>
      <c r="E939" s="11" t="s">
        <v>79</v>
      </c>
      <c r="F939" s="11" t="str">
        <f aca="false">IFERROR(__xludf.dummyfunction("GOOGLETRANSLATE(B939,""en"",""ar"")"),"عميل")</f>
        <v>عميل</v>
      </c>
      <c r="G939" s="3" t="n">
        <v>0</v>
      </c>
      <c r="H939" s="3" t="n">
        <v>0</v>
      </c>
    </row>
    <row r="940" customFormat="false" ht="14.25" hidden="false" customHeight="true" outlineLevel="0" collapsed="false">
      <c r="A940" s="1"/>
      <c r="B940" s="1" t="s">
        <v>1050</v>
      </c>
      <c r="C940" s="1" t="n">
        <v>15</v>
      </c>
      <c r="E940" s="11" t="s">
        <v>79</v>
      </c>
      <c r="F940" s="11" t="str">
        <f aca="false">IFERROR(__xludf.dummyfunction("GOOGLETRANSLATE(B940,""en"",""ar"")"),"الموت")</f>
        <v>الموت</v>
      </c>
      <c r="G940" s="3" t="n">
        <v>0</v>
      </c>
      <c r="H940" s="3" t="n">
        <v>0</v>
      </c>
    </row>
    <row r="941" customFormat="false" ht="14.25" hidden="false" customHeight="true" outlineLevel="0" collapsed="false">
      <c r="A941" s="1"/>
      <c r="B941" s="1" t="s">
        <v>1051</v>
      </c>
      <c r="C941" s="1" t="n">
        <v>15</v>
      </c>
      <c r="E941" s="11" t="s">
        <v>119</v>
      </c>
      <c r="F941" s="11" t="str">
        <f aca="false">IFERROR(__xludf.dummyfunction("GOOGLETRANSLATE(B941,""en"",""ar"")"),"رغبة")</f>
        <v>رغبة</v>
      </c>
      <c r="G941" s="3" t="n">
        <v>0</v>
      </c>
      <c r="H941" s="3" t="n">
        <v>0</v>
      </c>
    </row>
    <row r="942" customFormat="false" ht="14.25" hidden="false" customHeight="true" outlineLevel="0" collapsed="false">
      <c r="A942" s="1"/>
      <c r="B942" s="1" t="s">
        <v>1052</v>
      </c>
      <c r="C942" s="1" t="n">
        <v>15</v>
      </c>
      <c r="E942" s="11" t="s">
        <v>79</v>
      </c>
      <c r="F942" s="11" t="str">
        <f aca="false">IFERROR(__xludf.dummyfunction("GOOGLETRANSLATE(B942,""en"",""ar"")"),"نقاش")</f>
        <v>نقاش</v>
      </c>
      <c r="G942" s="3" t="n">
        <v>0</v>
      </c>
      <c r="H942" s="3" t="n">
        <v>0</v>
      </c>
    </row>
    <row r="943" customFormat="false" ht="14.25" hidden="false" customHeight="true" outlineLevel="0" collapsed="false">
      <c r="A943" s="1"/>
      <c r="B943" s="1" t="s">
        <v>1053</v>
      </c>
      <c r="C943" s="1" t="n">
        <v>15</v>
      </c>
      <c r="E943" s="11" t="s">
        <v>12</v>
      </c>
      <c r="F943" s="11" t="str">
        <f aca="false">IFERROR(__xludf.dummyfunction("GOOGLETRANSLATE(B943,""en"",""ar"")"),"يشرح")</f>
        <v>يشرح</v>
      </c>
      <c r="G943" s="3" t="n">
        <v>0</v>
      </c>
      <c r="H943" s="3" t="n">
        <v>0</v>
      </c>
    </row>
    <row r="944" customFormat="false" ht="14.25" hidden="false" customHeight="true" outlineLevel="0" collapsed="false">
      <c r="A944" s="1"/>
      <c r="B944" s="1" t="s">
        <v>1054</v>
      </c>
      <c r="C944" s="1" t="n">
        <v>15</v>
      </c>
      <c r="E944" s="11" t="s">
        <v>12</v>
      </c>
      <c r="F944" s="11" t="str">
        <f aca="false">IFERROR(__xludf.dummyfunction("GOOGLETRANSLATE(B944,""en"",""ar"")"),"يكتشف")</f>
        <v>يكتشف</v>
      </c>
      <c r="G944" s="3" t="n">
        <v>0</v>
      </c>
      <c r="H944" s="3" t="n">
        <v>0</v>
      </c>
    </row>
    <row r="945" customFormat="false" ht="14.25" hidden="false" customHeight="true" outlineLevel="0" collapsed="false">
      <c r="A945" s="1"/>
      <c r="B945" s="1" t="s">
        <v>1055</v>
      </c>
      <c r="C945" s="1" t="n">
        <v>15</v>
      </c>
      <c r="E945" s="11" t="s">
        <v>1056</v>
      </c>
      <c r="F945" s="11" t="str">
        <f aca="false">IFERROR(__xludf.dummyfunction("GOOGLETRANSLATE(B945,""en"",""ar"")"),"التعبير")</f>
        <v>التعبير</v>
      </c>
      <c r="G945" s="3" t="n">
        <v>0</v>
      </c>
      <c r="H945" s="3" t="n">
        <v>0</v>
      </c>
    </row>
    <row r="946" customFormat="false" ht="14.25" hidden="false" customHeight="true" outlineLevel="0" collapsed="false">
      <c r="A946" s="1"/>
      <c r="B946" s="1" t="s">
        <v>1057</v>
      </c>
      <c r="C946" s="1" t="n">
        <v>15</v>
      </c>
      <c r="E946" s="11" t="s">
        <v>42</v>
      </c>
      <c r="F946" s="11" t="str">
        <f aca="false">IFERROR(__xludf.dummyfunction("GOOGLETRANSLATE(B946,""en"",""ar"")"),"تماما")</f>
        <v>تماما</v>
      </c>
      <c r="G946" s="3" t="n">
        <v>0</v>
      </c>
      <c r="H946" s="3" t="n">
        <v>0</v>
      </c>
    </row>
    <row r="947" customFormat="false" ht="14.25" hidden="false" customHeight="true" outlineLevel="0" collapsed="false">
      <c r="A947" s="1"/>
      <c r="B947" s="1" t="s">
        <v>1058</v>
      </c>
      <c r="C947" s="1" t="n">
        <v>15</v>
      </c>
      <c r="E947" s="11" t="s">
        <v>87</v>
      </c>
      <c r="F947" s="11" t="str">
        <f aca="false">IFERROR(__xludf.dummyfunction("GOOGLETRANSLATE(B947,""en"",""ar"")"),"مثبت")</f>
        <v>مثبت</v>
      </c>
      <c r="G947" s="3" t="n">
        <v>0</v>
      </c>
      <c r="H947" s="3" t="n">
        <v>0</v>
      </c>
    </row>
    <row r="948" customFormat="false" ht="14.25" hidden="false" customHeight="true" outlineLevel="0" collapsed="false">
      <c r="A948" s="1"/>
      <c r="B948" s="1" t="s">
        <v>1059</v>
      </c>
      <c r="C948" s="1" t="n">
        <v>15</v>
      </c>
      <c r="E948" s="11" t="s">
        <v>119</v>
      </c>
      <c r="F948" s="11" t="str">
        <f aca="false">IFERROR(__xludf.dummyfunction("GOOGLETRANSLATE(B948,""en"",""ar"")"),"قدم")</f>
        <v>قدم</v>
      </c>
      <c r="G948" s="3" t="n">
        <v>0</v>
      </c>
      <c r="H948" s="3" t="n">
        <v>0</v>
      </c>
    </row>
    <row r="949" customFormat="false" ht="14.25" hidden="false" customHeight="true" outlineLevel="0" collapsed="false">
      <c r="A949" s="1"/>
      <c r="B949" s="1" t="s">
        <v>1060</v>
      </c>
      <c r="C949" s="1" t="n">
        <v>15</v>
      </c>
      <c r="E949" s="11" t="s">
        <v>119</v>
      </c>
      <c r="F949" s="11" t="str">
        <f aca="false">IFERROR(__xludf.dummyfunction("GOOGLETRANSLATE(B949,""en"",""ar"")"),"غاز")</f>
        <v>غاز</v>
      </c>
      <c r="G949" s="3" t="n">
        <v>0</v>
      </c>
      <c r="H949" s="3" t="n">
        <v>0</v>
      </c>
    </row>
    <row r="950" customFormat="false" ht="14.25" hidden="false" customHeight="true" outlineLevel="0" collapsed="false">
      <c r="A950" s="1"/>
      <c r="B950" s="1" t="s">
        <v>1061</v>
      </c>
      <c r="C950" s="1" t="n">
        <v>15</v>
      </c>
      <c r="E950" s="11" t="s">
        <v>94</v>
      </c>
      <c r="F950" s="11" t="str">
        <f aca="false">IFERROR(__xludf.dummyfunction("GOOGLETRANSLATE(B950,""en"",""ar"")"),"مقبض")</f>
        <v>مقبض</v>
      </c>
      <c r="G950" s="3" t="n">
        <v>0</v>
      </c>
      <c r="H950" s="3" t="n">
        <v>0</v>
      </c>
    </row>
    <row r="951" customFormat="false" ht="14.25" hidden="false" customHeight="true" outlineLevel="0" collapsed="false">
      <c r="A951" s="1"/>
      <c r="B951" s="1" t="s">
        <v>1062</v>
      </c>
      <c r="C951" s="1" t="n">
        <v>15</v>
      </c>
      <c r="E951" s="11" t="s">
        <v>79</v>
      </c>
      <c r="F951" s="11" t="str">
        <f aca="false">IFERROR(__xludf.dummyfunction("GOOGLETRANSLATE(B951,""en"",""ar"")"),"إسكان")</f>
        <v>إسكان</v>
      </c>
      <c r="G951" s="3" t="n">
        <v>0</v>
      </c>
      <c r="H951" s="3" t="n">
        <v>0</v>
      </c>
    </row>
    <row r="952" customFormat="false" ht="14.25" hidden="false" customHeight="true" outlineLevel="0" collapsed="false">
      <c r="A952" s="1"/>
      <c r="B952" s="1" t="s">
        <v>1063</v>
      </c>
      <c r="C952" s="1" t="n">
        <v>15</v>
      </c>
      <c r="E952" s="11" t="s">
        <v>112</v>
      </c>
      <c r="F952" s="11" t="str">
        <f aca="false">IFERROR(__xludf.dummyfunction("GOOGLETRANSLATE(B952,""en"",""ar"")"),"تسربت")</f>
        <v>تسربت</v>
      </c>
      <c r="G952" s="3" t="n">
        <v>0</v>
      </c>
      <c r="H952" s="3" t="n">
        <v>0</v>
      </c>
    </row>
    <row r="953" customFormat="false" ht="14.25" hidden="false" customHeight="true" outlineLevel="0" collapsed="false">
      <c r="A953" s="1"/>
      <c r="B953" s="1" t="s">
        <v>1064</v>
      </c>
      <c r="C953" s="1" t="n">
        <v>15</v>
      </c>
      <c r="E953" s="11" t="s">
        <v>79</v>
      </c>
      <c r="F953" s="11" t="str">
        <f aca="false">IFERROR(__xludf.dummyfunction("GOOGLETRANSLATE(B953,""en"",""ar"")"),"تضخم اقتصادي")</f>
        <v>تضخم اقتصادي</v>
      </c>
      <c r="G953" s="3" t="n">
        <v>0</v>
      </c>
      <c r="H953" s="3" t="n">
        <v>0</v>
      </c>
    </row>
    <row r="954" customFormat="false" ht="14.25" hidden="false" customHeight="true" outlineLevel="0" collapsed="false">
      <c r="A954" s="1"/>
      <c r="B954" s="1" t="s">
        <v>1065</v>
      </c>
      <c r="C954" s="1" t="n">
        <v>15</v>
      </c>
      <c r="E954" s="11" t="s">
        <v>119</v>
      </c>
      <c r="F954" s="11" t="str">
        <f aca="false">IFERROR(__xludf.dummyfunction("GOOGLETRANSLATE(B954,""en"",""ar"")"),"تأثير")</f>
        <v>تأثير</v>
      </c>
      <c r="G954" s="3" t="n">
        <v>0</v>
      </c>
      <c r="H954" s="3" t="n">
        <v>0</v>
      </c>
    </row>
    <row r="955" customFormat="false" ht="14.25" hidden="false" customHeight="true" outlineLevel="0" collapsed="false">
      <c r="A955" s="1"/>
      <c r="B955" s="1" t="s">
        <v>1066</v>
      </c>
      <c r="C955" s="1" t="n">
        <v>15</v>
      </c>
      <c r="E955" s="11" t="s">
        <v>79</v>
      </c>
      <c r="F955" s="11" t="str">
        <f aca="false">IFERROR(__xludf.dummyfunction("GOOGLETRANSLATE(B955,""en"",""ar"")"),"تأمين")</f>
        <v>تأمين</v>
      </c>
      <c r="G955" s="3" t="n">
        <v>0</v>
      </c>
      <c r="H955" s="3" t="n">
        <v>0</v>
      </c>
    </row>
    <row r="956" customFormat="false" ht="14.25" hidden="false" customHeight="true" outlineLevel="0" collapsed="false">
      <c r="A956" s="1"/>
      <c r="B956" s="1" t="s">
        <v>1067</v>
      </c>
      <c r="C956" s="1" t="n">
        <v>15</v>
      </c>
      <c r="E956" s="11" t="s">
        <v>12</v>
      </c>
      <c r="F956" s="11" t="str">
        <f aca="false">IFERROR(__xludf.dummyfunction("GOOGLETRANSLATE(B956,""en"",""ar"")"),"تنطوي")</f>
        <v>تنطوي</v>
      </c>
      <c r="G956" s="3" t="n">
        <v>0</v>
      </c>
      <c r="H956" s="3" t="n">
        <v>0</v>
      </c>
    </row>
    <row r="957" customFormat="false" ht="14.25" hidden="false" customHeight="true" outlineLevel="0" collapsed="false">
      <c r="A957" s="1"/>
      <c r="B957" s="1" t="s">
        <v>1068</v>
      </c>
      <c r="C957" s="1" t="n">
        <v>15</v>
      </c>
      <c r="E957" s="11" t="s">
        <v>235</v>
      </c>
      <c r="F957" s="11" t="str">
        <f aca="false">IFERROR(__xludf.dummyfunction("GOOGLETRANSLATE(B957,""en"",""ar"")"),"قيادة")</f>
        <v>قيادة</v>
      </c>
      <c r="G957" s="3" t="n">
        <v>0</v>
      </c>
      <c r="H957" s="3" t="n">
        <v>0</v>
      </c>
    </row>
    <row r="958" customFormat="false" ht="14.25" hidden="false" customHeight="true" outlineLevel="0" collapsed="false">
      <c r="A958" s="1"/>
      <c r="B958" s="1" t="s">
        <v>1069</v>
      </c>
      <c r="C958" s="1" t="n">
        <v>15</v>
      </c>
      <c r="E958" s="11" t="s">
        <v>12</v>
      </c>
      <c r="F958" s="11" t="str">
        <f aca="false">IFERROR(__xludf.dummyfunction("GOOGLETRANSLATE(B958,""en"",""ar"")"),"تخسر")</f>
        <v>تخسر</v>
      </c>
      <c r="G958" s="3" t="n">
        <v>0</v>
      </c>
      <c r="H958" s="3" t="n">
        <v>0</v>
      </c>
    </row>
    <row r="959" customFormat="false" ht="14.25" hidden="false" customHeight="true" outlineLevel="0" collapsed="false">
      <c r="A959" s="1"/>
      <c r="B959" s="1" t="s">
        <v>1070</v>
      </c>
      <c r="C959" s="1" t="n">
        <v>15</v>
      </c>
      <c r="E959" s="11" t="s">
        <v>94</v>
      </c>
      <c r="F959" s="11" t="str">
        <f aca="false">IFERROR(__xludf.dummyfunction("GOOGLETRANSLATE(B959,""en"",""ar"")"),"يجتمع")</f>
        <v>يجتمع</v>
      </c>
      <c r="G959" s="3" t="n">
        <v>0</v>
      </c>
      <c r="H959" s="3" t="n">
        <v>0</v>
      </c>
    </row>
    <row r="960" customFormat="false" ht="14.25" hidden="false" customHeight="true" outlineLevel="0" collapsed="false">
      <c r="A960" s="1"/>
      <c r="B960" s="1" t="s">
        <v>1071</v>
      </c>
      <c r="C960" s="1" t="n">
        <v>15</v>
      </c>
      <c r="E960" s="11" t="s">
        <v>79</v>
      </c>
      <c r="F960" s="11" t="str">
        <f aca="false">IFERROR(__xludf.dummyfunction("GOOGLETRANSLATE(B960,""en"",""ar"")"),"مزاج")</f>
        <v>مزاج</v>
      </c>
      <c r="G960" s="3" t="n">
        <v>0</v>
      </c>
      <c r="H960" s="3" t="n">
        <v>0</v>
      </c>
    </row>
    <row r="961" customFormat="false" ht="14.25" hidden="false" customHeight="true" outlineLevel="0" collapsed="false">
      <c r="A961" s="1"/>
      <c r="B961" s="1" t="s">
        <v>1072</v>
      </c>
      <c r="C961" s="1" t="n">
        <v>15</v>
      </c>
      <c r="E961" s="11" t="s">
        <v>119</v>
      </c>
      <c r="F961" s="11" t="str">
        <f aca="false">IFERROR(__xludf.dummyfunction("GOOGLETRANSLATE(B961,""en"",""ar"")"),"تنويه")</f>
        <v>تنويه</v>
      </c>
      <c r="G961" s="3" t="n">
        <v>0</v>
      </c>
      <c r="H961" s="3" t="n">
        <v>0</v>
      </c>
    </row>
    <row r="962" customFormat="false" ht="14.25" hidden="false" customHeight="true" outlineLevel="0" collapsed="false">
      <c r="A962" s="1"/>
      <c r="B962" s="1" t="s">
        <v>1073</v>
      </c>
      <c r="C962" s="1" t="n">
        <v>15</v>
      </c>
      <c r="E962" s="11" t="s">
        <v>42</v>
      </c>
      <c r="F962" s="11" t="str">
        <f aca="false">IFERROR(__xludf.dummyfunction("GOOGLETRANSLATE(B962,""en"",""ar"")"),"بالدرجة الأولى")</f>
        <v>بالدرجة الأولى</v>
      </c>
      <c r="G962" s="3" t="n">
        <v>0</v>
      </c>
      <c r="H962" s="3" t="n">
        <v>0</v>
      </c>
    </row>
    <row r="963" customFormat="false" ht="14.25" hidden="false" customHeight="true" outlineLevel="0" collapsed="false">
      <c r="A963" s="1"/>
      <c r="B963" s="1" t="s">
        <v>1074</v>
      </c>
      <c r="C963" s="1" t="n">
        <v>15</v>
      </c>
      <c r="E963" s="11" t="s">
        <v>119</v>
      </c>
      <c r="F963" s="11" t="str">
        <f aca="false">IFERROR(__xludf.dummyfunction("GOOGLETRANSLATE(B963,""en"",""ar"")"),"تمطر")</f>
        <v>تمطر</v>
      </c>
      <c r="G963" s="3" t="n">
        <v>0</v>
      </c>
      <c r="H963" s="3" t="n">
        <v>0</v>
      </c>
    </row>
    <row r="964" customFormat="false" ht="14.25" hidden="false" customHeight="true" outlineLevel="0" collapsed="false">
      <c r="A964" s="1"/>
      <c r="B964" s="1" t="s">
        <v>1075</v>
      </c>
      <c r="C964" s="1" t="n">
        <v>15</v>
      </c>
      <c r="E964" s="11" t="s">
        <v>112</v>
      </c>
      <c r="F964" s="11" t="str">
        <f aca="false">IFERROR(__xludf.dummyfunction("GOOGLETRANSLATE(B964,""en"",""ar"")"),"نادر")</f>
        <v>نادر</v>
      </c>
      <c r="G964" s="3" t="n">
        <v>0</v>
      </c>
      <c r="H964" s="3" t="n">
        <v>0</v>
      </c>
    </row>
    <row r="965" customFormat="false" ht="14.25" hidden="false" customHeight="true" outlineLevel="0" collapsed="false">
      <c r="A965" s="1"/>
      <c r="B965" s="1" t="s">
        <v>1076</v>
      </c>
      <c r="C965" s="1" t="n">
        <v>15</v>
      </c>
      <c r="E965" s="11" t="s">
        <v>94</v>
      </c>
      <c r="F965" s="11" t="str">
        <f aca="false">IFERROR(__xludf.dummyfunction("GOOGLETRANSLATE(B965,""en"",""ar"")"),"إطلاق سراح")</f>
        <v>إطلاق سراح</v>
      </c>
      <c r="G965" s="3" t="n">
        <v>0</v>
      </c>
      <c r="H965" s="3" t="n">
        <v>0</v>
      </c>
    </row>
    <row r="966" customFormat="false" ht="14.25" hidden="false" customHeight="true" outlineLevel="0" collapsed="false">
      <c r="A966" s="1"/>
      <c r="B966" s="1" t="s">
        <v>1077</v>
      </c>
      <c r="C966" s="1" t="n">
        <v>15</v>
      </c>
      <c r="E966" s="11" t="s">
        <v>94</v>
      </c>
      <c r="F966" s="11" t="str">
        <f aca="false">IFERROR(__xludf.dummyfunction("GOOGLETRANSLATE(B966,""en"",""ar"")"),"يبيع")</f>
        <v>يبيع</v>
      </c>
      <c r="G966" s="3" t="n">
        <v>0</v>
      </c>
      <c r="H966" s="3" t="n">
        <v>0</v>
      </c>
    </row>
    <row r="967" customFormat="false" ht="14.25" hidden="false" customHeight="true" outlineLevel="0" collapsed="false">
      <c r="A967" s="1"/>
      <c r="B967" s="1" t="s">
        <v>1078</v>
      </c>
      <c r="C967" s="1" t="n">
        <v>15</v>
      </c>
      <c r="E967" s="11" t="s">
        <v>199</v>
      </c>
      <c r="F967" s="11" t="str">
        <f aca="false">IFERROR(__xludf.dummyfunction("GOOGLETRANSLATE(B967,""en"",""ar"")"),"بطيء")</f>
        <v>بطيء</v>
      </c>
      <c r="G967" s="3" t="n">
        <v>0</v>
      </c>
      <c r="H967" s="3" t="n">
        <v>0</v>
      </c>
    </row>
    <row r="968" customFormat="false" ht="14.25" hidden="false" customHeight="true" outlineLevel="0" collapsed="false">
      <c r="A968" s="1"/>
      <c r="B968" s="1" t="s">
        <v>1079</v>
      </c>
      <c r="C968" s="1" t="n">
        <v>15</v>
      </c>
      <c r="E968" s="11" t="s">
        <v>112</v>
      </c>
      <c r="F968" s="11" t="str">
        <f aca="false">IFERROR(__xludf.dummyfunction("GOOGLETRANSLATE(B968,""en"",""ar"")"),"فني")</f>
        <v>فني</v>
      </c>
      <c r="G968" s="3" t="n">
        <v>0</v>
      </c>
      <c r="H968" s="3" t="n">
        <v>0</v>
      </c>
    </row>
    <row r="969" customFormat="false" ht="14.25" hidden="false" customHeight="true" outlineLevel="0" collapsed="false">
      <c r="A969" s="1"/>
      <c r="B969" s="1" t="s">
        <v>1080</v>
      </c>
      <c r="C969" s="1" t="n">
        <v>15</v>
      </c>
      <c r="E969" s="11" t="s">
        <v>112</v>
      </c>
      <c r="F969" s="11" t="str">
        <f aca="false">IFERROR(__xludf.dummyfunction("GOOGLETRANSLATE(B969,""en"",""ar"")"),"عادي")</f>
        <v>عادي</v>
      </c>
      <c r="G969" s="3" t="n">
        <v>0</v>
      </c>
      <c r="H969" s="3" t="n">
        <v>0</v>
      </c>
    </row>
    <row r="970" customFormat="false" ht="14.25" hidden="false" customHeight="true" outlineLevel="0" collapsed="false">
      <c r="A970" s="1"/>
      <c r="B970" s="1" t="s">
        <v>1081</v>
      </c>
      <c r="C970" s="1" t="n">
        <v>15</v>
      </c>
      <c r="E970" s="11" t="s">
        <v>32</v>
      </c>
      <c r="F970" s="11" t="str">
        <f aca="false">IFERROR(__xludf.dummyfunction("GOOGLETRANSLATE(B970,""en"",""ar"")"),"بناء على")</f>
        <v>بناء على</v>
      </c>
      <c r="G970" s="3" t="n">
        <v>0</v>
      </c>
      <c r="H970" s="3" t="n">
        <v>0</v>
      </c>
    </row>
    <row r="971" customFormat="false" ht="14.25" hidden="false" customHeight="true" outlineLevel="0" collapsed="false">
      <c r="A971" s="1"/>
      <c r="B971" s="1" t="s">
        <v>1082</v>
      </c>
      <c r="C971" s="1" t="n">
        <v>15</v>
      </c>
      <c r="E971" s="11" t="s">
        <v>119</v>
      </c>
      <c r="F971" s="11" t="str">
        <f aca="false">IFERROR(__xludf.dummyfunction("GOOGLETRANSLATE(B971,""en"",""ar"")"),"حائط")</f>
        <v>حائط</v>
      </c>
      <c r="G971" s="3" t="n">
        <v>0</v>
      </c>
      <c r="H971" s="3" t="n">
        <v>0</v>
      </c>
    </row>
    <row r="972" customFormat="false" ht="14.25" hidden="false" customHeight="true" outlineLevel="0" collapsed="false">
      <c r="A972" s="1"/>
      <c r="B972" s="1" t="s">
        <v>1083</v>
      </c>
      <c r="C972" s="1" t="n">
        <v>15</v>
      </c>
      <c r="E972" s="11" t="s">
        <v>79</v>
      </c>
      <c r="F972" s="11" t="str">
        <f aca="false">IFERROR(__xludf.dummyfunction("GOOGLETRANSLATE(B972,""en"",""ar"")"),"النساء")</f>
        <v>النساء</v>
      </c>
      <c r="G972" s="3" t="n">
        <v>0</v>
      </c>
      <c r="H972" s="3" t="n">
        <v>0</v>
      </c>
    </row>
    <row r="973" customFormat="false" ht="14.25" hidden="false" customHeight="true" outlineLevel="0" collapsed="false">
      <c r="A973" s="1"/>
      <c r="B973" s="1" t="s">
        <v>1084</v>
      </c>
      <c r="C973" s="1" t="n">
        <v>14</v>
      </c>
      <c r="E973" s="11" t="s">
        <v>79</v>
      </c>
      <c r="F973" s="11" t="str">
        <f aca="false">IFERROR(__xludf.dummyfunction("GOOGLETRANSLATE(B973,""en"",""ar"")"),"النصيحة")</f>
        <v>النصيحة</v>
      </c>
      <c r="G973" s="3" t="n">
        <v>0</v>
      </c>
      <c r="H973" s="3" t="n">
        <v>0</v>
      </c>
    </row>
    <row r="974" customFormat="false" ht="14.25" hidden="false" customHeight="true" outlineLevel="0" collapsed="false">
      <c r="A974" s="1"/>
      <c r="B974" s="1" t="s">
        <v>1085</v>
      </c>
      <c r="C974" s="1" t="n">
        <v>14</v>
      </c>
      <c r="E974" s="11" t="s">
        <v>12</v>
      </c>
      <c r="F974" s="11" t="str">
        <f aca="false">IFERROR(__xludf.dummyfunction("GOOGLETRANSLATE(B974,""en"",""ar"")"),"تحمل")</f>
        <v>تحمل</v>
      </c>
      <c r="G974" s="3" t="n">
        <v>0</v>
      </c>
      <c r="H974" s="3" t="n">
        <v>0</v>
      </c>
    </row>
    <row r="975" customFormat="false" ht="14.25" hidden="false" customHeight="true" outlineLevel="0" collapsed="false">
      <c r="A975" s="1"/>
      <c r="B975" s="1" t="s">
        <v>1086</v>
      </c>
      <c r="C975" s="1" t="n">
        <v>14</v>
      </c>
      <c r="E975" s="11" t="s">
        <v>12</v>
      </c>
      <c r="F975" s="11" t="str">
        <f aca="false">IFERROR(__xludf.dummyfunction("GOOGLETRANSLATE(B975,""en"",""ar"")"),"يوافق على")</f>
        <v>يوافق على</v>
      </c>
      <c r="G975" s="3" t="n">
        <v>0</v>
      </c>
      <c r="H975" s="3" t="n">
        <v>0</v>
      </c>
    </row>
    <row r="976" customFormat="false" ht="14.25" hidden="false" customHeight="true" outlineLevel="0" collapsed="false">
      <c r="A976" s="1"/>
      <c r="B976" s="1" t="s">
        <v>1087</v>
      </c>
      <c r="C976" s="1" t="n">
        <v>14</v>
      </c>
      <c r="E976" s="11" t="s">
        <v>128</v>
      </c>
      <c r="F976" s="11" t="str">
        <f aca="false">IFERROR(__xludf.dummyfunction("GOOGLETRANSLATE(B976,""en"",""ar"")"),"يتمركز")</f>
        <v>يتمركز</v>
      </c>
      <c r="G976" s="3" t="n">
        <v>0</v>
      </c>
      <c r="H976" s="3" t="n">
        <v>0</v>
      </c>
    </row>
    <row r="977" customFormat="false" ht="14.25" hidden="false" customHeight="true" outlineLevel="0" collapsed="false">
      <c r="A977" s="1"/>
      <c r="B977" s="1" t="s">
        <v>1088</v>
      </c>
      <c r="C977" s="1" t="n">
        <v>14</v>
      </c>
      <c r="E977" s="11" t="s">
        <v>79</v>
      </c>
      <c r="F977" s="11" t="str">
        <f aca="false">IFERROR(__xludf.dummyfunction("GOOGLETRANSLATE(B977,""en"",""ar"")"),"الدم")</f>
        <v>الدم</v>
      </c>
      <c r="G977" s="3" t="n">
        <v>0</v>
      </c>
      <c r="H977" s="3" t="n">
        <v>0</v>
      </c>
    </row>
    <row r="978" customFormat="false" ht="14.25" hidden="false" customHeight="true" outlineLevel="0" collapsed="false">
      <c r="A978" s="1"/>
      <c r="B978" s="1" t="s">
        <v>1089</v>
      </c>
      <c r="C978" s="1" t="n">
        <v>14</v>
      </c>
      <c r="E978" s="11" t="s">
        <v>199</v>
      </c>
      <c r="F978" s="11" t="str">
        <f aca="false">IFERROR(__xludf.dummyfunction("GOOGLETRANSLATE(B978,""en"",""ar"")"),"ينظف")</f>
        <v>ينظف</v>
      </c>
      <c r="G978" s="3" t="n">
        <v>0</v>
      </c>
      <c r="H978" s="3" t="n">
        <v>0</v>
      </c>
    </row>
    <row r="979" customFormat="false" ht="14.25" hidden="false" customHeight="true" outlineLevel="0" collapsed="false">
      <c r="A979" s="1"/>
      <c r="B979" s="1" t="s">
        <v>1090</v>
      </c>
      <c r="C979" s="1" t="n">
        <v>14</v>
      </c>
      <c r="E979" s="11" t="s">
        <v>112</v>
      </c>
      <c r="F979" s="11" t="str">
        <f aca="false">IFERROR(__xludf.dummyfunction("GOOGLETRANSLATE(B979,""en"",""ar"")"),"منافس")</f>
        <v>منافس</v>
      </c>
      <c r="G979" s="3" t="n">
        <v>0</v>
      </c>
      <c r="H979" s="3" t="n">
        <v>0</v>
      </c>
    </row>
    <row r="980" customFormat="false" ht="14.25" hidden="false" customHeight="true" outlineLevel="0" collapsed="false">
      <c r="A980" s="1"/>
      <c r="B980" s="1" t="s">
        <v>1091</v>
      </c>
      <c r="C980" s="1" t="n">
        <v>14</v>
      </c>
      <c r="E980" s="11" t="s">
        <v>42</v>
      </c>
      <c r="F980" s="11" t="str">
        <f aca="false">IFERROR(__xludf.dummyfunction("GOOGLETRANSLATE(B980,""en"",""ar"")"),"تماما")</f>
        <v>تماما</v>
      </c>
      <c r="G980" s="3" t="n">
        <v>0</v>
      </c>
      <c r="H980" s="3" t="n">
        <v>0</v>
      </c>
    </row>
    <row r="981" customFormat="false" ht="14.25" hidden="false" customHeight="true" outlineLevel="0" collapsed="false">
      <c r="A981" s="1"/>
      <c r="B981" s="1" t="s">
        <v>1092</v>
      </c>
      <c r="C981" s="1" t="n">
        <v>14</v>
      </c>
      <c r="E981" s="11" t="s">
        <v>112</v>
      </c>
      <c r="F981" s="11" t="str">
        <f aca="false">IFERROR(__xludf.dummyfunction("GOOGLETRANSLATE(B981,""en"",""ar"")"),"حرج")</f>
        <v>حرج</v>
      </c>
      <c r="G981" s="3" t="n">
        <v>0</v>
      </c>
      <c r="H981" s="3" t="n">
        <v>0</v>
      </c>
    </row>
    <row r="982" customFormat="false" ht="14.25" hidden="false" customHeight="true" outlineLevel="0" collapsed="false">
      <c r="A982" s="1"/>
      <c r="B982" s="1" t="s">
        <v>1093</v>
      </c>
      <c r="C982" s="1" t="n">
        <v>14</v>
      </c>
      <c r="E982" s="11" t="s">
        <v>119</v>
      </c>
      <c r="F982" s="11" t="str">
        <f aca="false">IFERROR(__xludf.dummyfunction("GOOGLETRANSLATE(B982,""en"",""ar"")"),"تلف")</f>
        <v>تلف</v>
      </c>
      <c r="G982" s="3" t="n">
        <v>0</v>
      </c>
      <c r="H982" s="3" t="n">
        <v>0</v>
      </c>
    </row>
    <row r="983" customFormat="false" ht="14.25" hidden="false" customHeight="true" outlineLevel="0" collapsed="false">
      <c r="A983" s="1"/>
      <c r="B983" s="1" t="s">
        <v>1094</v>
      </c>
      <c r="C983" s="1" t="n">
        <v>14</v>
      </c>
      <c r="E983" s="11" t="s">
        <v>119</v>
      </c>
      <c r="F983" s="11" t="str">
        <f aca="false">IFERROR(__xludf.dummyfunction("GOOGLETRANSLATE(B983,""en"",""ar"")"),"مسافه: بعد")</f>
        <v>مسافه: بعد</v>
      </c>
      <c r="G983" s="3" t="n">
        <v>0</v>
      </c>
      <c r="H983" s="3" t="n">
        <v>0</v>
      </c>
    </row>
    <row r="984" customFormat="false" ht="14.25" hidden="false" customHeight="true" outlineLevel="0" collapsed="false">
      <c r="A984" s="1"/>
      <c r="B984" s="1" t="s">
        <v>1095</v>
      </c>
      <c r="C984" s="1" t="n">
        <v>14</v>
      </c>
      <c r="E984" s="11" t="s">
        <v>79</v>
      </c>
      <c r="F984" s="11" t="str">
        <f aca="false">IFERROR(__xludf.dummyfunction("GOOGLETRANSLATE(B984,""en"",""ar"")"),"مجهود")</f>
        <v>مجهود</v>
      </c>
      <c r="G984" s="3" t="n">
        <v>0</v>
      </c>
      <c r="H984" s="3" t="n">
        <v>0</v>
      </c>
    </row>
    <row r="985" customFormat="false" ht="14.25" hidden="false" customHeight="true" outlineLevel="0" collapsed="false">
      <c r="A985" s="1"/>
      <c r="B985" s="1" t="s">
        <v>1096</v>
      </c>
      <c r="C985" s="1" t="n">
        <v>14</v>
      </c>
      <c r="E985" s="11" t="s">
        <v>112</v>
      </c>
      <c r="F985" s="11" t="str">
        <f aca="false">IFERROR(__xludf.dummyfunction("GOOGLETRANSLATE(B985,""en"",""ar"")"),"إلكتروني")</f>
        <v>إلكتروني</v>
      </c>
      <c r="G985" s="3" t="n">
        <v>0</v>
      </c>
      <c r="H985" s="3" t="n">
        <v>0</v>
      </c>
    </row>
    <row r="986" customFormat="false" ht="14.25" hidden="false" customHeight="true" outlineLevel="0" collapsed="false">
      <c r="A986" s="1"/>
      <c r="B986" s="1" t="s">
        <v>1097</v>
      </c>
      <c r="C986" s="1" t="n">
        <v>14</v>
      </c>
      <c r="E986" s="11" t="s">
        <v>79</v>
      </c>
      <c r="F986" s="11" t="str">
        <f aca="false">IFERROR(__xludf.dummyfunction("GOOGLETRANSLATE(B986,""en"",""ar"")"),"التعبير")</f>
        <v>التعبير</v>
      </c>
      <c r="G986" s="3" t="n">
        <v>0</v>
      </c>
      <c r="H986" s="3" t="n">
        <v>0</v>
      </c>
    </row>
    <row r="987" customFormat="false" ht="14.25" hidden="false" customHeight="true" outlineLevel="0" collapsed="false">
      <c r="A987" s="1"/>
      <c r="B987" s="1" t="s">
        <v>1098</v>
      </c>
      <c r="C987" s="1" t="n">
        <v>14</v>
      </c>
      <c r="E987" s="11" t="s">
        <v>148</v>
      </c>
      <c r="F987" s="11" t="str">
        <f aca="false">IFERROR(__xludf.dummyfunction("GOOGLETRANSLATE(B987,""en"",""ar"")"),"شعور")</f>
        <v>شعور</v>
      </c>
      <c r="G987" s="3" t="n">
        <v>0</v>
      </c>
      <c r="H987" s="3" t="n">
        <v>0</v>
      </c>
    </row>
    <row r="988" customFormat="false" ht="14.25" hidden="false" customHeight="true" outlineLevel="0" collapsed="false">
      <c r="A988" s="1"/>
      <c r="B988" s="1" t="s">
        <v>1099</v>
      </c>
      <c r="C988" s="1" t="n">
        <v>14</v>
      </c>
      <c r="E988" s="11" t="s">
        <v>94</v>
      </c>
      <c r="F988" s="11" t="str">
        <f aca="false">IFERROR(__xludf.dummyfunction("GOOGLETRANSLATE(B988,""en"",""ar"")"),"ينهي")</f>
        <v>ينهي</v>
      </c>
      <c r="G988" s="3" t="n">
        <v>0</v>
      </c>
      <c r="H988" s="3" t="n">
        <v>0</v>
      </c>
    </row>
    <row r="989" customFormat="false" ht="14.25" hidden="false" customHeight="true" outlineLevel="0" collapsed="false">
      <c r="A989" s="1"/>
      <c r="B989" s="1" t="s">
        <v>1100</v>
      </c>
      <c r="C989" s="1" t="n">
        <v>14</v>
      </c>
      <c r="E989" s="11" t="s">
        <v>50</v>
      </c>
      <c r="F989" s="11" t="str">
        <f aca="false">IFERROR(__xludf.dummyfunction("GOOGLETRANSLATE(B989,""en"",""ar"")"),"طازج")</f>
        <v>طازج</v>
      </c>
      <c r="G989" s="3" t="n">
        <v>0</v>
      </c>
      <c r="H989" s="3" t="n">
        <v>0</v>
      </c>
    </row>
    <row r="990" customFormat="false" ht="14.25" hidden="false" customHeight="true" outlineLevel="0" collapsed="false">
      <c r="A990" s="1"/>
      <c r="B990" s="1" t="s">
        <v>1101</v>
      </c>
      <c r="C990" s="1" t="n">
        <v>14</v>
      </c>
      <c r="E990" s="11" t="s">
        <v>12</v>
      </c>
      <c r="F990" s="11" t="str">
        <f aca="false">IFERROR(__xludf.dummyfunction("GOOGLETRANSLATE(B990,""en"",""ar"")"),"سمع")</f>
        <v>سمع</v>
      </c>
      <c r="G990" s="3" t="n">
        <v>0</v>
      </c>
      <c r="H990" s="3" t="n">
        <v>0</v>
      </c>
    </row>
    <row r="991" customFormat="false" ht="14.25" hidden="false" customHeight="true" outlineLevel="0" collapsed="false">
      <c r="A991" s="1"/>
      <c r="B991" s="1" t="s">
        <v>1102</v>
      </c>
      <c r="C991" s="1" t="n">
        <v>14</v>
      </c>
      <c r="E991" s="11" t="s">
        <v>112</v>
      </c>
      <c r="F991" s="11" t="str">
        <f aca="false">IFERROR(__xludf.dummyfunction("GOOGLETRANSLATE(B991,""en"",""ar"")"),"فوري")</f>
        <v>فوري</v>
      </c>
      <c r="G991" s="3" t="n">
        <v>0</v>
      </c>
      <c r="H991" s="3" t="n">
        <v>0</v>
      </c>
    </row>
    <row r="992" customFormat="false" ht="14.25" hidden="false" customHeight="true" outlineLevel="0" collapsed="false">
      <c r="A992" s="1"/>
      <c r="B992" s="1" t="s">
        <v>1103</v>
      </c>
      <c r="C992" s="1" t="n">
        <v>14</v>
      </c>
      <c r="E992" s="11" t="s">
        <v>79</v>
      </c>
      <c r="F992" s="11" t="str">
        <f aca="false">IFERROR(__xludf.dummyfunction("GOOGLETRANSLATE(B992,""en"",""ar"")"),"أهمية")</f>
        <v>أهمية</v>
      </c>
      <c r="G992" s="3" t="n">
        <v>0</v>
      </c>
      <c r="H992" s="3" t="n">
        <v>0</v>
      </c>
    </row>
    <row r="993" customFormat="false" ht="14.25" hidden="false" customHeight="true" outlineLevel="0" collapsed="false">
      <c r="A993" s="1"/>
      <c r="B993" s="1" t="s">
        <v>1104</v>
      </c>
      <c r="C993" s="1" t="n">
        <v>14</v>
      </c>
      <c r="E993" s="11" t="s">
        <v>235</v>
      </c>
      <c r="F993" s="11" t="str">
        <f aca="false">IFERROR(__xludf.dummyfunction("GOOGLETRANSLATE(B993,""en"",""ar"")"),"عادي")</f>
        <v>عادي</v>
      </c>
      <c r="G993" s="3" t="n">
        <v>0</v>
      </c>
      <c r="H993" s="3" t="n">
        <v>0</v>
      </c>
    </row>
    <row r="994" customFormat="false" ht="14.25" hidden="false" customHeight="true" outlineLevel="0" collapsed="false">
      <c r="A994" s="1"/>
      <c r="B994" s="1" t="s">
        <v>1105</v>
      </c>
      <c r="C994" s="1" t="n">
        <v>14</v>
      </c>
      <c r="E994" s="11" t="s">
        <v>79</v>
      </c>
      <c r="F994" s="11" t="str">
        <f aca="false">IFERROR(__xludf.dummyfunction("GOOGLETRANSLATE(B994,""en"",""ar"")"),"رأي")</f>
        <v>رأي</v>
      </c>
      <c r="G994" s="3" t="n">
        <v>0</v>
      </c>
      <c r="H994" s="3" t="n">
        <v>0</v>
      </c>
    </row>
    <row r="995" customFormat="false" ht="14.25" hidden="false" customHeight="true" outlineLevel="0" collapsed="false">
      <c r="A995" s="1"/>
      <c r="B995" s="1" t="s">
        <v>1106</v>
      </c>
      <c r="C995" s="1" t="n">
        <v>14</v>
      </c>
      <c r="E995" s="11" t="s">
        <v>143</v>
      </c>
      <c r="F995" s="11" t="str">
        <f aca="false">IFERROR(__xludf.dummyfunction("GOOGLETRANSLATE(B995,""en"",""ar"")"),"غير ذلك")</f>
        <v>غير ذلك</v>
      </c>
      <c r="G995" s="3" t="n">
        <v>0</v>
      </c>
      <c r="H995" s="3" t="n">
        <v>0</v>
      </c>
    </row>
    <row r="996" customFormat="false" ht="14.25" hidden="false" customHeight="true" outlineLevel="0" collapsed="false">
      <c r="A996" s="1"/>
      <c r="B996" s="1" t="s">
        <v>1107</v>
      </c>
      <c r="C996" s="1" t="n">
        <v>14</v>
      </c>
      <c r="E996" s="11" t="s">
        <v>119</v>
      </c>
      <c r="F996" s="11" t="str">
        <f aca="false">IFERROR(__xludf.dummyfunction("GOOGLETRANSLATE(B996,""en"",""ar"")"),"زوج")</f>
        <v>زوج</v>
      </c>
      <c r="G996" s="3" t="n">
        <v>0</v>
      </c>
      <c r="H996" s="3" t="n">
        <v>0</v>
      </c>
    </row>
    <row r="997" customFormat="false" ht="14.25" hidden="false" customHeight="true" outlineLevel="0" collapsed="false">
      <c r="A997" s="1"/>
      <c r="B997" s="1" t="s">
        <v>1108</v>
      </c>
      <c r="C997" s="1" t="n">
        <v>14</v>
      </c>
      <c r="E997" s="11" t="s">
        <v>79</v>
      </c>
      <c r="F997" s="11" t="str">
        <f aca="false">IFERROR(__xludf.dummyfunction("GOOGLETRANSLATE(B997,""en"",""ar"")"),"دفع")</f>
        <v>دفع</v>
      </c>
      <c r="G997" s="3" t="n">
        <v>0</v>
      </c>
      <c r="H997" s="3" t="n">
        <v>0</v>
      </c>
    </row>
    <row r="998" customFormat="false" ht="14.25" hidden="false" customHeight="true" outlineLevel="0" collapsed="false">
      <c r="A998" s="1"/>
      <c r="B998" s="1" t="s">
        <v>1109</v>
      </c>
      <c r="C998" s="1" t="n">
        <v>14</v>
      </c>
      <c r="E998" s="11" t="s">
        <v>1110</v>
      </c>
      <c r="F998" s="11" t="str">
        <f aca="false">IFERROR(__xludf.dummyfunction("GOOGLETRANSLATE(B998,""en"",""ar"")"),"زائد")</f>
        <v>زائد</v>
      </c>
      <c r="G998" s="3" t="n">
        <v>0</v>
      </c>
      <c r="H998" s="3" t="n">
        <v>0</v>
      </c>
    </row>
    <row r="999" customFormat="false" ht="14.25" hidden="false" customHeight="true" outlineLevel="0" collapsed="false">
      <c r="A999" s="1"/>
      <c r="B999" s="1" t="s">
        <v>1111</v>
      </c>
      <c r="C999" s="1" t="n">
        <v>14</v>
      </c>
      <c r="E999" s="11" t="s">
        <v>94</v>
      </c>
      <c r="F999" s="11" t="str">
        <f aca="false">IFERROR(__xludf.dummyfunction("GOOGLETRANSLATE(B999,""en"",""ar"")"),"صحافة")</f>
        <v>صحافة</v>
      </c>
      <c r="G999" s="3" t="n">
        <v>0</v>
      </c>
      <c r="H999" s="3" t="n">
        <v>0</v>
      </c>
    </row>
    <row r="1000" customFormat="false" ht="14.25" hidden="false" customHeight="true" outlineLevel="0" collapsed="false">
      <c r="A1000" s="1"/>
      <c r="B1000" s="1" t="s">
        <v>1112</v>
      </c>
      <c r="C1000" s="1" t="n">
        <v>14</v>
      </c>
      <c r="E1000" s="11" t="s">
        <v>79</v>
      </c>
      <c r="F1000" s="11" t="str">
        <f aca="false">IFERROR(__xludf.dummyfunction("GOOGLETRANSLATE(B1000,""en"",""ar"")"),"واقع")</f>
        <v>واقع</v>
      </c>
      <c r="G1000" s="3" t="n">
        <v>0</v>
      </c>
      <c r="H1000" s="3" t="n">
        <v>0</v>
      </c>
    </row>
    <row r="1001" customFormat="false" ht="14.25" hidden="false" customHeight="true" outlineLevel="0" collapsed="false">
      <c r="A1001" s="1"/>
      <c r="B1001" s="1" t="s">
        <v>1113</v>
      </c>
      <c r="C1001" s="1" t="n">
        <v>14</v>
      </c>
      <c r="E1001" s="11" t="s">
        <v>12</v>
      </c>
      <c r="F1001" s="11" t="str">
        <f aca="false">IFERROR(__xludf.dummyfunction("GOOGLETRANSLATE(B1001,""en"",""ar"")"),"يبقى")</f>
        <v>يبقى</v>
      </c>
      <c r="G1001" s="3" t="n">
        <v>0</v>
      </c>
      <c r="H1001" s="3" t="n">
        <v>0</v>
      </c>
    </row>
    <row r="1002" customFormat="false" ht="14.25" hidden="false" customHeight="true" outlineLevel="0" collapsed="false">
      <c r="A1002" s="1"/>
      <c r="B1002" s="1" t="s">
        <v>1114</v>
      </c>
      <c r="C1002" s="1" t="n">
        <v>14</v>
      </c>
      <c r="E1002" s="11" t="s">
        <v>12</v>
      </c>
      <c r="F1002" s="11" t="str">
        <f aca="false">IFERROR(__xludf.dummyfunction("GOOGLETRANSLATE(B1002,""en"",""ar"")"),"تركيز")</f>
        <v>تركيز</v>
      </c>
      <c r="G1002" s="3" t="n">
        <v>0</v>
      </c>
      <c r="H1002" s="3" t="n">
        <v>0</v>
      </c>
    </row>
    <row r="1003" customFormat="false" ht="14.25" hidden="false" customHeight="true" outlineLevel="0" collapsed="false">
      <c r="A1003" s="1"/>
      <c r="B1003" s="1" t="s">
        <v>1115</v>
      </c>
      <c r="C1003" s="1" t="n">
        <v>14</v>
      </c>
      <c r="E1003" s="11" t="s">
        <v>79</v>
      </c>
      <c r="F1003" s="11" t="str">
        <f aca="false">IFERROR(__xludf.dummyfunction("GOOGLETRANSLATE(B1003,""en"",""ar"")"),"مسؤولية")</f>
        <v>مسؤولية</v>
      </c>
      <c r="G1003" s="3" t="n">
        <v>0</v>
      </c>
      <c r="H1003" s="3" t="n">
        <v>0</v>
      </c>
    </row>
    <row r="1004" customFormat="false" ht="14.25" hidden="false" customHeight="true" outlineLevel="0" collapsed="false">
      <c r="A1004" s="1"/>
      <c r="B1004" s="1" t="s">
        <v>1116</v>
      </c>
      <c r="C1004" s="1" t="n">
        <v>14</v>
      </c>
      <c r="E1004" s="11" t="s">
        <v>94</v>
      </c>
      <c r="F1004" s="11" t="str">
        <f aca="false">IFERROR(__xludf.dummyfunction("GOOGLETRANSLATE(B1004,""en"",""ar"")"),"اركب")</f>
        <v>اركب</v>
      </c>
      <c r="G1004" s="3" t="n">
        <v>0</v>
      </c>
      <c r="H1004" s="3" t="n">
        <v>0</v>
      </c>
    </row>
    <row r="1005" customFormat="false" ht="14.25" hidden="false" customHeight="true" outlineLevel="0" collapsed="false">
      <c r="A1005" s="1"/>
      <c r="B1005" s="1" t="s">
        <v>1117</v>
      </c>
      <c r="C1005" s="1" t="n">
        <v>14</v>
      </c>
      <c r="E1005" s="11" t="s">
        <v>727</v>
      </c>
      <c r="F1005" s="11" t="str">
        <f aca="false">IFERROR(__xludf.dummyfunction("GOOGLETRANSLATE(B1005,""en"",""ar"")"),"مدخرات")</f>
        <v>مدخرات</v>
      </c>
      <c r="G1005" s="3" t="n">
        <v>0</v>
      </c>
      <c r="H1005" s="3" t="n">
        <v>0</v>
      </c>
    </row>
    <row r="1006" customFormat="false" ht="14.25" hidden="false" customHeight="true" outlineLevel="0" collapsed="false">
      <c r="A1006" s="1"/>
      <c r="B1006" s="1" t="s">
        <v>1118</v>
      </c>
      <c r="C1006" s="1" t="n">
        <v>14</v>
      </c>
      <c r="E1006" s="11" t="s">
        <v>235</v>
      </c>
      <c r="F1006" s="11" t="str">
        <f aca="false">IFERROR(__xludf.dummyfunction("GOOGLETRANSLATE(B1006,""en"",""ar"")"),"سر")</f>
        <v>سر</v>
      </c>
      <c r="G1006" s="3" t="n">
        <v>0</v>
      </c>
      <c r="H1006" s="3" t="n">
        <v>0</v>
      </c>
    </row>
    <row r="1007" customFormat="false" ht="14.25" hidden="false" customHeight="true" outlineLevel="0" collapsed="false">
      <c r="A1007" s="1"/>
      <c r="B1007" s="1" t="s">
        <v>1119</v>
      </c>
      <c r="C1007" s="1" t="n">
        <v>14</v>
      </c>
      <c r="E1007" s="11" t="s">
        <v>79</v>
      </c>
      <c r="F1007" s="11" t="str">
        <f aca="false">IFERROR(__xludf.dummyfunction("GOOGLETRANSLATE(B1007,""en"",""ar"")"),"قارة")</f>
        <v>قارة</v>
      </c>
      <c r="G1007" s="3" t="n">
        <v>0</v>
      </c>
      <c r="H1007" s="3" t="n">
        <v>0</v>
      </c>
    </row>
    <row r="1008" customFormat="false" ht="14.25" hidden="false" customHeight="true" outlineLevel="0" collapsed="false">
      <c r="A1008" s="1"/>
      <c r="B1008" s="1" t="s">
        <v>1120</v>
      </c>
      <c r="C1008" s="1" t="n">
        <v>14</v>
      </c>
      <c r="E1008" s="11" t="s">
        <v>79</v>
      </c>
      <c r="F1008" s="11" t="str">
        <f aca="false">IFERROR(__xludf.dummyfunction("GOOGLETRANSLATE(B1008,""en"",""ar"")"),"مهارة")</f>
        <v>مهارة</v>
      </c>
      <c r="G1008" s="3" t="n">
        <v>0</v>
      </c>
      <c r="H1008" s="3" t="n">
        <v>0</v>
      </c>
    </row>
    <row r="1009" customFormat="false" ht="14.25" hidden="false" customHeight="true" outlineLevel="0" collapsed="false">
      <c r="A1009" s="1"/>
      <c r="B1009" s="1" t="s">
        <v>1121</v>
      </c>
      <c r="C1009" s="1" t="n">
        <v>14</v>
      </c>
      <c r="E1009" s="11" t="s">
        <v>94</v>
      </c>
      <c r="F1009" s="11" t="str">
        <f aca="false">IFERROR(__xludf.dummyfunction("GOOGLETRANSLATE(B1009,""en"",""ar"")"),"انتشار")</f>
        <v>انتشار</v>
      </c>
      <c r="G1009" s="3" t="n">
        <v>0</v>
      </c>
      <c r="H1009" s="3" t="n">
        <v>0</v>
      </c>
    </row>
    <row r="1010" customFormat="false" ht="14.25" hidden="false" customHeight="true" outlineLevel="0" collapsed="false">
      <c r="A1010" s="1"/>
      <c r="B1010" s="1" t="s">
        <v>1122</v>
      </c>
      <c r="C1010" s="1" t="n">
        <v>14</v>
      </c>
      <c r="E1010" s="11" t="s">
        <v>94</v>
      </c>
      <c r="F1010" s="11" t="str">
        <f aca="false">IFERROR(__xludf.dummyfunction("GOOGLETRANSLATE(B1010,""en"",""ar"")"),"ربيع")</f>
        <v>ربيع</v>
      </c>
      <c r="G1010" s="3" t="n">
        <v>0</v>
      </c>
      <c r="H1010" s="3" t="n">
        <v>0</v>
      </c>
    </row>
    <row r="1011" customFormat="false" ht="14.25" hidden="false" customHeight="true" outlineLevel="0" collapsed="false">
      <c r="A1011" s="1"/>
      <c r="B1011" s="1" t="s">
        <v>1123</v>
      </c>
      <c r="C1011" s="1" t="n">
        <v>14</v>
      </c>
      <c r="E1011" s="11" t="s">
        <v>119</v>
      </c>
      <c r="F1011" s="11" t="str">
        <f aca="false">IFERROR(__xludf.dummyfunction("GOOGLETRANSLATE(B1011,""en"",""ar"")"),"العاملين")</f>
        <v>العاملين</v>
      </c>
      <c r="G1011" s="3" t="n">
        <v>0</v>
      </c>
      <c r="H1011" s="3" t="n">
        <v>0</v>
      </c>
    </row>
    <row r="1012" customFormat="false" ht="14.25" hidden="false" customHeight="true" outlineLevel="0" collapsed="false">
      <c r="A1012" s="1"/>
      <c r="B1012" s="1" t="s">
        <v>1124</v>
      </c>
      <c r="C1012" s="1" t="n">
        <v>14</v>
      </c>
      <c r="E1012" s="11" t="s">
        <v>79</v>
      </c>
      <c r="F1012" s="11" t="str">
        <f aca="false">IFERROR(__xludf.dummyfunction("GOOGLETRANSLATE(B1012,""en"",""ar"")"),"بيان")</f>
        <v>بيان</v>
      </c>
      <c r="G1012" s="3" t="n">
        <v>0</v>
      </c>
      <c r="H1012" s="3" t="n">
        <v>0</v>
      </c>
    </row>
    <row r="1013" customFormat="false" ht="14.25" hidden="false" customHeight="true" outlineLevel="0" collapsed="false">
      <c r="A1013" s="1"/>
      <c r="B1013" s="1" t="s">
        <v>1125</v>
      </c>
      <c r="C1013" s="1" t="n">
        <v>14</v>
      </c>
      <c r="E1013" s="11" t="s">
        <v>119</v>
      </c>
      <c r="F1013" s="11" t="str">
        <f aca="false">IFERROR(__xludf.dummyfunction("GOOGLETRANSLATE(B1013,""en"",""ar"")"),"السكر")</f>
        <v>السكر</v>
      </c>
      <c r="G1013" s="3" t="n">
        <v>0</v>
      </c>
      <c r="H1013" s="3" t="n">
        <v>0</v>
      </c>
    </row>
    <row r="1014" customFormat="false" ht="14.25" hidden="false" customHeight="true" outlineLevel="0" collapsed="false">
      <c r="A1014" s="1"/>
      <c r="B1014" s="1" t="s">
        <v>1126</v>
      </c>
      <c r="C1014" s="1" t="n">
        <v>14</v>
      </c>
      <c r="E1014" s="11" t="s">
        <v>119</v>
      </c>
      <c r="F1014" s="11" t="str">
        <f aca="false">IFERROR(__xludf.dummyfunction("GOOGLETRANSLATE(B1014,""en"",""ar"")"),"استهداف")</f>
        <v>استهداف</v>
      </c>
      <c r="G1014" s="3" t="n">
        <v>0</v>
      </c>
      <c r="H1014" s="3" t="n">
        <v>0</v>
      </c>
    </row>
    <row r="1015" customFormat="false" ht="14.25" hidden="false" customHeight="true" outlineLevel="0" collapsed="false">
      <c r="A1015" s="1"/>
      <c r="B1015" s="1" t="s">
        <v>1127</v>
      </c>
      <c r="C1015" s="1" t="n">
        <v>14</v>
      </c>
      <c r="E1015" s="11" t="s">
        <v>119</v>
      </c>
      <c r="F1015" s="11" t="str">
        <f aca="false">IFERROR(__xludf.dummyfunction("GOOGLETRANSLATE(B1015,""en"",""ar"")"),"نص")</f>
        <v>نص</v>
      </c>
      <c r="G1015" s="3" t="n">
        <v>0</v>
      </c>
      <c r="H1015" s="3" t="n">
        <v>0</v>
      </c>
    </row>
    <row r="1016" customFormat="false" ht="14.25" hidden="false" customHeight="true" outlineLevel="0" collapsed="false">
      <c r="A1016" s="1"/>
      <c r="B1016" s="1" t="s">
        <v>1128</v>
      </c>
      <c r="C1016" s="1" t="n">
        <v>14</v>
      </c>
      <c r="E1016" s="11" t="s">
        <v>235</v>
      </c>
      <c r="F1016" s="11" t="str">
        <f aca="false">IFERROR(__xludf.dummyfunction("GOOGLETRANSLATE(B1016,""en"",""ar"")"),"قاس")</f>
        <v>قاس</v>
      </c>
      <c r="G1016" s="3" t="n">
        <v>0</v>
      </c>
      <c r="H1016" s="3" t="n">
        <v>0</v>
      </c>
    </row>
    <row r="1017" customFormat="false" ht="14.25" hidden="false" customHeight="true" outlineLevel="0" collapsed="false">
      <c r="A1017" s="1"/>
      <c r="B1017" s="1" t="s">
        <v>1129</v>
      </c>
      <c r="C1017" s="1" t="n">
        <v>14</v>
      </c>
      <c r="E1017" s="11" t="s">
        <v>42</v>
      </c>
      <c r="F1017" s="11" t="str">
        <f aca="false">IFERROR(__xludf.dummyfunction("GOOGLETRANSLATE(B1017,""en"",""ar"")"),"أخيرا")</f>
        <v>أخيرا</v>
      </c>
      <c r="G1017" s="3" t="n">
        <v>0</v>
      </c>
      <c r="H1017" s="3" t="n">
        <v>0</v>
      </c>
    </row>
    <row r="1018" customFormat="false" ht="14.25" hidden="false" customHeight="true" outlineLevel="0" collapsed="false">
      <c r="A1018" s="1"/>
      <c r="B1018" s="1" t="s">
        <v>1130</v>
      </c>
      <c r="C1018" s="1" t="n">
        <v>14</v>
      </c>
      <c r="E1018" s="11" t="s">
        <v>94</v>
      </c>
      <c r="F1018" s="11" t="str">
        <f aca="false">IFERROR(__xludf.dummyfunction("GOOGLETRANSLATE(B1018,""en"",""ar"")"),"انتظر")</f>
        <v>انتظر</v>
      </c>
      <c r="G1018" s="3" t="n">
        <v>0</v>
      </c>
      <c r="H1018" s="3" t="n">
        <v>0</v>
      </c>
    </row>
    <row r="1019" customFormat="false" ht="14.25" hidden="false" customHeight="true" outlineLevel="0" collapsed="false">
      <c r="A1019" s="1"/>
      <c r="B1019" s="1" t="s">
        <v>1131</v>
      </c>
      <c r="C1019" s="1" t="n">
        <v>14</v>
      </c>
      <c r="E1019" s="11" t="s">
        <v>79</v>
      </c>
      <c r="F1019" s="11" t="str">
        <f aca="false">IFERROR(__xludf.dummyfunction("GOOGLETRANSLATE(B1019,""en"",""ar"")"),"ثروة")</f>
        <v>ثروة</v>
      </c>
      <c r="G1019" s="3" t="n">
        <v>0</v>
      </c>
      <c r="H1019" s="3" t="n">
        <v>0</v>
      </c>
    </row>
    <row r="1020" customFormat="false" ht="14.25" hidden="false" customHeight="true" outlineLevel="0" collapsed="false">
      <c r="A1020" s="1"/>
      <c r="B1020" s="1" t="s">
        <v>1132</v>
      </c>
      <c r="C1020" s="1" t="n">
        <v>14</v>
      </c>
      <c r="E1020" s="11" t="s">
        <v>277</v>
      </c>
      <c r="F1020" s="11" t="str">
        <f aca="false">IFERROR(__xludf.dummyfunction("GOOGLETRANSLATE(B1020,""en"",""ar"")"),"كلما كان")</f>
        <v>كلما كان</v>
      </c>
      <c r="G1020" s="3" t="n">
        <v>0</v>
      </c>
      <c r="H1020" s="3" t="n">
        <v>0</v>
      </c>
    </row>
    <row r="1021" customFormat="false" ht="14.25" hidden="false" customHeight="true" outlineLevel="0" collapsed="false">
      <c r="A1021" s="1"/>
      <c r="B1021" s="1" t="s">
        <v>1133</v>
      </c>
      <c r="C1021" s="1" t="n">
        <v>14</v>
      </c>
      <c r="E1021" s="11" t="s">
        <v>30</v>
      </c>
      <c r="F1021" s="11" t="str">
        <f aca="false">IFERROR(__xludf.dummyfunction("GOOGLETRANSLATE(B1021,""en"",""ar"")"),"ملك من")</f>
        <v>ملك من</v>
      </c>
      <c r="G1021" s="3" t="n">
        <v>0</v>
      </c>
      <c r="H1021" s="3" t="n">
        <v>0</v>
      </c>
    </row>
    <row r="1022" customFormat="false" ht="14.25" hidden="false" customHeight="true" outlineLevel="0" collapsed="false">
      <c r="A1022" s="1"/>
      <c r="B1022" s="1" t="s">
        <v>1134</v>
      </c>
      <c r="C1022" s="1" t="n">
        <v>14</v>
      </c>
      <c r="E1022" s="11" t="s">
        <v>42</v>
      </c>
      <c r="F1022" s="11" t="str">
        <f aca="false">IFERROR(__xludf.dummyfunction("GOOGLETRANSLATE(B1022,""en"",""ar"")"),"على نحو واسع")</f>
        <v>على نحو واسع</v>
      </c>
      <c r="G1022" s="3" t="n">
        <v>0</v>
      </c>
      <c r="H1022" s="3" t="n">
        <v>0</v>
      </c>
    </row>
    <row r="1023" customFormat="false" ht="14.25" hidden="false" customHeight="true" outlineLevel="0" collapsed="false">
      <c r="A1023" s="1"/>
      <c r="B1023" s="1" t="s">
        <v>1135</v>
      </c>
      <c r="C1023" s="1" t="n">
        <v>13</v>
      </c>
      <c r="E1023" s="11" t="s">
        <v>148</v>
      </c>
      <c r="F1023" s="11" t="str">
        <f aca="false">IFERROR(__xludf.dummyfunction("GOOGLETRANSLATE(B1023,""en"",""ar"")"),"حيوان")</f>
        <v>حيوان</v>
      </c>
      <c r="G1023" s="3" t="n">
        <v>0</v>
      </c>
      <c r="H1023" s="3" t="n">
        <v>0</v>
      </c>
    </row>
    <row r="1024" customFormat="false" ht="14.25" hidden="false" customHeight="true" outlineLevel="0" collapsed="false">
      <c r="A1024" s="1"/>
      <c r="B1024" s="1" t="s">
        <v>1136</v>
      </c>
      <c r="C1024" s="1" t="n">
        <v>13</v>
      </c>
      <c r="E1024" s="11" t="s">
        <v>79</v>
      </c>
      <c r="F1024" s="11" t="str">
        <f aca="false">IFERROR(__xludf.dummyfunction("GOOGLETRANSLATE(B1024,""en"",""ar"")"),"طلب")</f>
        <v>طلب</v>
      </c>
      <c r="G1024" s="3" t="n">
        <v>0</v>
      </c>
      <c r="H1024" s="3" t="n">
        <v>0</v>
      </c>
    </row>
    <row r="1025" customFormat="false" ht="14.25" hidden="false" customHeight="true" outlineLevel="0" collapsed="false">
      <c r="A1025" s="1"/>
      <c r="B1025" s="1" t="s">
        <v>1137</v>
      </c>
      <c r="C1025" s="1" t="n">
        <v>13</v>
      </c>
      <c r="E1025" s="11" t="s">
        <v>12</v>
      </c>
      <c r="F1025" s="11" t="str">
        <f aca="false">IFERROR(__xludf.dummyfunction("GOOGLETRANSLATE(B1025,""en"",""ar"")"),"تطبيق")</f>
        <v>تطبيق</v>
      </c>
      <c r="G1025" s="3" t="n">
        <v>0</v>
      </c>
      <c r="H1025" s="3" t="n">
        <v>0</v>
      </c>
    </row>
    <row r="1026" customFormat="false" ht="14.25" hidden="false" customHeight="true" outlineLevel="0" collapsed="false">
      <c r="A1026" s="1"/>
      <c r="B1026" s="1" t="s">
        <v>1138</v>
      </c>
      <c r="C1026" s="1" t="n">
        <v>13</v>
      </c>
      <c r="E1026" s="11" t="s">
        <v>119</v>
      </c>
      <c r="F1026" s="11" t="str">
        <f aca="false">IFERROR(__xludf.dummyfunction("GOOGLETRANSLATE(B1026,""en"",""ar"")"),"مؤلف")</f>
        <v>مؤلف</v>
      </c>
      <c r="G1026" s="3" t="n">
        <v>0</v>
      </c>
      <c r="H1026" s="3" t="n">
        <v>0</v>
      </c>
    </row>
    <row r="1027" customFormat="false" ht="14.25" hidden="false" customHeight="true" outlineLevel="0" collapsed="false">
      <c r="A1027" s="1"/>
      <c r="B1027" s="1" t="s">
        <v>1139</v>
      </c>
      <c r="C1027" s="1" t="n">
        <v>13</v>
      </c>
      <c r="E1027" s="11" t="s">
        <v>112</v>
      </c>
      <c r="F1027" s="11" t="str">
        <f aca="false">IFERROR(__xludf.dummyfunction("GOOGLETRANSLATE(B1027,""en"",""ar"")"),"واعي")</f>
        <v>واعي</v>
      </c>
      <c r="G1027" s="3" t="n">
        <v>0</v>
      </c>
      <c r="H1027" s="3" t="n">
        <v>0</v>
      </c>
    </row>
    <row r="1028" customFormat="false" ht="14.25" hidden="false" customHeight="true" outlineLevel="0" collapsed="false">
      <c r="A1028" s="1"/>
      <c r="B1028" s="1" t="s">
        <v>1140</v>
      </c>
      <c r="C1028" s="1" t="n">
        <v>13</v>
      </c>
      <c r="E1028" s="11" t="s">
        <v>405</v>
      </c>
      <c r="F1028" s="11" t="str">
        <f aca="false">IFERROR(__xludf.dummyfunction("GOOGLETRANSLATE(B1028,""en"",""ar"")"),"بنى")</f>
        <v>بنى</v>
      </c>
      <c r="G1028" s="3" t="n">
        <v>0</v>
      </c>
      <c r="H1028" s="3" t="n">
        <v>0</v>
      </c>
    </row>
    <row r="1029" customFormat="false" ht="14.25" hidden="false" customHeight="true" outlineLevel="0" collapsed="false">
      <c r="A1029" s="1"/>
      <c r="B1029" s="1" t="s">
        <v>1141</v>
      </c>
      <c r="C1029" s="1" t="n">
        <v>13</v>
      </c>
      <c r="E1029" s="11" t="s">
        <v>83</v>
      </c>
      <c r="F1029" s="11" t="str">
        <f aca="false">IFERROR(__xludf.dummyfunction("GOOGLETRANSLATE(B1029,""en"",""ar"")"),"تبرع")</f>
        <v>تبرع</v>
      </c>
      <c r="G1029" s="3" t="n">
        <v>0</v>
      </c>
      <c r="H1029" s="3" t="n">
        <v>0</v>
      </c>
    </row>
    <row r="1030" customFormat="false" ht="14.25" hidden="false" customHeight="true" outlineLevel="0" collapsed="false">
      <c r="A1030" s="1"/>
      <c r="B1030" s="1" t="s">
        <v>1142</v>
      </c>
      <c r="C1030" s="1" t="n">
        <v>13</v>
      </c>
      <c r="E1030" s="11" t="s">
        <v>50</v>
      </c>
      <c r="F1030" s="11" t="str">
        <f aca="false">IFERROR(__xludf.dummyfunction("GOOGLETRANSLATE(B1030,""en"",""ar"")"),"رخيص")</f>
        <v>رخيص</v>
      </c>
      <c r="G1030" s="3" t="n">
        <v>0</v>
      </c>
      <c r="H1030" s="3" t="n">
        <v>0</v>
      </c>
    </row>
    <row r="1031" customFormat="false" ht="14.25" hidden="false" customHeight="true" outlineLevel="0" collapsed="false">
      <c r="A1031" s="1"/>
      <c r="B1031" s="1" t="s">
        <v>1143</v>
      </c>
      <c r="C1031" s="1" t="n">
        <v>13</v>
      </c>
      <c r="E1031" s="11" t="s">
        <v>79</v>
      </c>
      <c r="F1031" s="11" t="str">
        <f aca="false">IFERROR(__xludf.dummyfunction("GOOGLETRANSLATE(B1031,""en"",""ar"")"),"مدينة")</f>
        <v>مدينة</v>
      </c>
      <c r="G1031" s="3" t="n">
        <v>0</v>
      </c>
      <c r="H1031" s="3" t="n">
        <v>0</v>
      </c>
    </row>
    <row r="1032" customFormat="false" ht="14.25" hidden="false" customHeight="true" outlineLevel="0" collapsed="false">
      <c r="A1032" s="1"/>
      <c r="B1032" s="1" t="s">
        <v>1144</v>
      </c>
      <c r="C1032" s="1" t="n">
        <v>13</v>
      </c>
      <c r="E1032" s="11" t="s">
        <v>87</v>
      </c>
      <c r="F1032" s="11" t="str">
        <f aca="false">IFERROR(__xludf.dummyfunction("GOOGLETRANSLATE(B1032,""en"",""ar"")"),"معقد")</f>
        <v>معقد</v>
      </c>
      <c r="G1032" s="3" t="n">
        <v>0</v>
      </c>
      <c r="H1032" s="3" t="n">
        <v>0</v>
      </c>
    </row>
    <row r="1033" customFormat="false" ht="14.25" hidden="false" customHeight="true" outlineLevel="0" collapsed="false">
      <c r="A1033" s="1"/>
      <c r="B1033" s="1" t="s">
        <v>1145</v>
      </c>
      <c r="C1033" s="1" t="n">
        <v>13</v>
      </c>
      <c r="E1033" s="11" t="s">
        <v>79</v>
      </c>
      <c r="F1033" s="11" t="str">
        <f aca="false">IFERROR(__xludf.dummyfunction("GOOGLETRANSLATE(B1033,""en"",""ar"")"),"مقاطعة")</f>
        <v>مقاطعة</v>
      </c>
      <c r="G1033" s="3" t="n">
        <v>0</v>
      </c>
      <c r="H1033" s="3" t="n">
        <v>0</v>
      </c>
    </row>
    <row r="1034" customFormat="false" ht="14.25" hidden="false" customHeight="true" outlineLevel="0" collapsed="false">
      <c r="A1034" s="1"/>
      <c r="B1034" s="1" t="s">
        <v>1146</v>
      </c>
      <c r="C1034" s="1" t="n">
        <v>13</v>
      </c>
      <c r="E1034" s="11" t="s">
        <v>77</v>
      </c>
      <c r="F1034" s="11" t="str">
        <f aca="false">IFERROR(__xludf.dummyfunction("GOOGLETRANSLATE(B1034,""en"",""ar"")"),"عميق")</f>
        <v>عميق</v>
      </c>
      <c r="G1034" s="3" t="n">
        <v>0</v>
      </c>
      <c r="H1034" s="3" t="n">
        <v>0</v>
      </c>
    </row>
    <row r="1035" customFormat="false" ht="14.25" hidden="false" customHeight="true" outlineLevel="0" collapsed="false">
      <c r="A1035" s="1"/>
      <c r="B1035" s="1" t="s">
        <v>1147</v>
      </c>
      <c r="C1035" s="1" t="n">
        <v>13</v>
      </c>
      <c r="E1035" s="11" t="s">
        <v>79</v>
      </c>
      <c r="F1035" s="11" t="str">
        <f aca="false">IFERROR(__xludf.dummyfunction("GOOGLETRANSLATE(B1035,""en"",""ar"")"),"عمق")</f>
        <v>عمق</v>
      </c>
      <c r="G1035" s="3" t="n">
        <v>0</v>
      </c>
      <c r="H1035" s="3" t="n">
        <v>0</v>
      </c>
    </row>
    <row r="1036" customFormat="false" ht="14.25" hidden="false" customHeight="true" outlineLevel="0" collapsed="false">
      <c r="A1036" s="1"/>
      <c r="B1036" s="1" t="s">
        <v>1148</v>
      </c>
      <c r="C1036" s="1" t="n">
        <v>13</v>
      </c>
      <c r="E1036" s="11" t="s">
        <v>128</v>
      </c>
      <c r="F1036" s="11" t="str">
        <f aca="false">IFERROR(__xludf.dummyfunction("GOOGLETRANSLATE(B1036,""en"",""ar"")"),"خصم")</f>
        <v>خصم</v>
      </c>
      <c r="G1036" s="3" t="n">
        <v>0</v>
      </c>
      <c r="H1036" s="3" t="n">
        <v>0</v>
      </c>
    </row>
    <row r="1037" customFormat="false" ht="14.25" hidden="false" customHeight="true" outlineLevel="0" collapsed="false">
      <c r="A1037" s="1"/>
      <c r="B1037" s="1" t="s">
        <v>1149</v>
      </c>
      <c r="C1037" s="1" t="n">
        <v>13</v>
      </c>
      <c r="E1037" s="11" t="s">
        <v>94</v>
      </c>
      <c r="F1037" s="11" t="str">
        <f aca="false">IFERROR(__xludf.dummyfunction("GOOGLETRANSLATE(B1037,""en"",""ar"")"),"عرض")</f>
        <v>عرض</v>
      </c>
      <c r="G1037" s="3" t="n">
        <v>0</v>
      </c>
      <c r="H1037" s="3" t="n">
        <v>0</v>
      </c>
    </row>
    <row r="1038" customFormat="false" ht="14.25" hidden="false" customHeight="true" outlineLevel="0" collapsed="false">
      <c r="A1038" s="1"/>
      <c r="B1038" s="1" t="s">
        <v>1150</v>
      </c>
      <c r="C1038" s="1" t="n">
        <v>13</v>
      </c>
      <c r="E1038" s="11" t="s">
        <v>112</v>
      </c>
      <c r="F1038" s="11" t="str">
        <f aca="false">IFERROR(__xludf.dummyfunction("GOOGLETRANSLATE(B1038,""en"",""ar"")"),"تربوي")</f>
        <v>تربوي</v>
      </c>
      <c r="G1038" s="3" t="n">
        <v>0</v>
      </c>
      <c r="H1038" s="3" t="n">
        <v>0</v>
      </c>
    </row>
    <row r="1039" customFormat="false" ht="14.25" hidden="false" customHeight="true" outlineLevel="0" collapsed="false">
      <c r="A1039" s="1"/>
      <c r="B1039" s="1" t="s">
        <v>1151</v>
      </c>
      <c r="C1039" s="1" t="n">
        <v>13</v>
      </c>
      <c r="E1039" s="11" t="s">
        <v>112</v>
      </c>
      <c r="F1039" s="11" t="str">
        <f aca="false">IFERROR(__xludf.dummyfunction("GOOGLETRANSLATE(B1039,""en"",""ar"")"),"بيئي")</f>
        <v>بيئي</v>
      </c>
      <c r="G1039" s="3" t="n">
        <v>0</v>
      </c>
      <c r="H1039" s="3" t="n">
        <v>0</v>
      </c>
    </row>
    <row r="1040" customFormat="false" ht="14.25" hidden="false" customHeight="true" outlineLevel="0" collapsed="false">
      <c r="A1040" s="1"/>
      <c r="B1040" s="1" t="s">
        <v>1152</v>
      </c>
      <c r="C1040" s="1" t="n">
        <v>13</v>
      </c>
      <c r="E1040" s="11" t="s">
        <v>79</v>
      </c>
      <c r="F1040" s="11" t="str">
        <f aca="false">IFERROR(__xludf.dummyfunction("GOOGLETRANSLATE(B1040,""en"",""ar"")"),"ملكية")</f>
        <v>ملكية</v>
      </c>
      <c r="G1040" s="3" t="n">
        <v>0</v>
      </c>
      <c r="H1040" s="3" t="n">
        <v>0</v>
      </c>
    </row>
    <row r="1041" customFormat="false" ht="14.25" hidden="false" customHeight="true" outlineLevel="0" collapsed="false">
      <c r="A1041" s="1"/>
      <c r="B1041" s="1" t="s">
        <v>1153</v>
      </c>
      <c r="C1041" s="1" t="n">
        <v>13</v>
      </c>
      <c r="E1041" s="11" t="s">
        <v>119</v>
      </c>
      <c r="F1041" s="11" t="str">
        <f aca="false">IFERROR(__xludf.dummyfunction("GOOGLETRANSLATE(B1041,""en"",""ar"")"),"ملف")</f>
        <v>ملف</v>
      </c>
      <c r="G1041" s="3" t="n">
        <v>0</v>
      </c>
      <c r="H1041" s="3" t="n">
        <v>0</v>
      </c>
    </row>
    <row r="1042" customFormat="false" ht="14.25" hidden="false" customHeight="true" outlineLevel="0" collapsed="false">
      <c r="A1042" s="1"/>
      <c r="B1042" s="1" t="s">
        <v>1154</v>
      </c>
      <c r="C1042" s="1" t="n">
        <v>13</v>
      </c>
      <c r="E1042" s="11" t="s">
        <v>94</v>
      </c>
      <c r="F1042" s="11" t="str">
        <f aca="false">IFERROR(__xludf.dummyfunction("GOOGLETRANSLATE(B1042,""en"",""ar"")"),"تدفق")</f>
        <v>تدفق</v>
      </c>
      <c r="G1042" s="3" t="n">
        <v>0</v>
      </c>
      <c r="H1042" s="3" t="n">
        <v>0</v>
      </c>
    </row>
    <row r="1043" customFormat="false" ht="14.25" hidden="false" customHeight="true" outlineLevel="0" collapsed="false">
      <c r="A1043" s="1"/>
      <c r="B1043" s="1" t="s">
        <v>1155</v>
      </c>
      <c r="C1043" s="1" t="n">
        <v>13</v>
      </c>
      <c r="E1043" s="11" t="s">
        <v>12</v>
      </c>
      <c r="F1043" s="11" t="str">
        <f aca="false">IFERROR(__xludf.dummyfunction("GOOGLETRANSLATE(B1043,""en"",""ar"")"),"ننسى")</f>
        <v>ننسى</v>
      </c>
      <c r="G1043" s="3" t="n">
        <v>0</v>
      </c>
      <c r="H1043" s="3" t="n">
        <v>0</v>
      </c>
    </row>
    <row r="1044" customFormat="false" ht="14.25" hidden="false" customHeight="true" outlineLevel="0" collapsed="false">
      <c r="A1044" s="1"/>
      <c r="B1044" s="1" t="s">
        <v>1156</v>
      </c>
      <c r="C1044" s="1" t="n">
        <v>13</v>
      </c>
      <c r="E1044" s="11" t="s">
        <v>79</v>
      </c>
      <c r="F1044" s="11" t="str">
        <f aca="false">IFERROR(__xludf.dummyfunction("GOOGLETRANSLATE(B1044,""en"",""ar"")"),"المؤسسة")</f>
        <v>المؤسسة</v>
      </c>
      <c r="G1044" s="3" t="n">
        <v>0</v>
      </c>
      <c r="H1044" s="3" t="n">
        <v>0</v>
      </c>
    </row>
    <row r="1045" customFormat="false" ht="14.25" hidden="false" customHeight="true" outlineLevel="0" collapsed="false">
      <c r="A1045" s="1"/>
      <c r="B1045" s="1" t="s">
        <v>1157</v>
      </c>
      <c r="C1045" s="1" t="n">
        <v>13</v>
      </c>
      <c r="E1045" s="11" t="s">
        <v>112</v>
      </c>
      <c r="F1045" s="11" t="str">
        <f aca="false">IFERROR(__xludf.dummyfunction("GOOGLETRANSLATE(B1045,""en"",""ar"")"),"عالمي")</f>
        <v>عالمي</v>
      </c>
      <c r="G1045" s="3" t="n">
        <v>0</v>
      </c>
      <c r="H1045" s="3" t="n">
        <v>0</v>
      </c>
    </row>
    <row r="1046" customFormat="false" ht="14.25" hidden="false" customHeight="true" outlineLevel="0" collapsed="false">
      <c r="A1046" s="1"/>
      <c r="B1046" s="1" t="s">
        <v>1158</v>
      </c>
      <c r="C1046" s="1" t="n">
        <v>13</v>
      </c>
      <c r="E1046" s="11" t="s">
        <v>79</v>
      </c>
      <c r="F1046" s="11" t="str">
        <f aca="false">IFERROR(__xludf.dummyfunction("GOOGLETRANSLATE(B1046,""en"",""ar"")"),"جدة")</f>
        <v>جدة</v>
      </c>
      <c r="G1046" s="3" t="n">
        <v>0</v>
      </c>
      <c r="H1046" s="3" t="n">
        <v>0</v>
      </c>
    </row>
    <row r="1047" customFormat="false" ht="14.25" hidden="false" customHeight="true" outlineLevel="0" collapsed="false">
      <c r="A1047" s="1"/>
      <c r="B1047" s="1" t="s">
        <v>1159</v>
      </c>
      <c r="C1047" s="1" t="n">
        <v>13</v>
      </c>
      <c r="E1047" s="11" t="s">
        <v>128</v>
      </c>
      <c r="F1047" s="11" t="str">
        <f aca="false">IFERROR(__xludf.dummyfunction("GOOGLETRANSLATE(B1047,""en"",""ar"")"),"أرض")</f>
        <v>أرض</v>
      </c>
      <c r="G1047" s="3" t="n">
        <v>0</v>
      </c>
      <c r="H1047" s="3" t="n">
        <v>0</v>
      </c>
    </row>
    <row r="1048" customFormat="false" ht="14.25" hidden="false" customHeight="true" outlineLevel="0" collapsed="false">
      <c r="A1048" s="1"/>
      <c r="B1048" s="1" t="s">
        <v>1160</v>
      </c>
      <c r="C1048" s="1" t="n">
        <v>13</v>
      </c>
      <c r="E1048" s="11" t="s">
        <v>79</v>
      </c>
      <c r="F1048" s="11" t="str">
        <f aca="false">IFERROR(__xludf.dummyfunction("GOOGLETRANSLATE(B1048,""en"",""ar"")"),"قلب")</f>
        <v>قلب</v>
      </c>
      <c r="G1048" s="3" t="n">
        <v>0</v>
      </c>
      <c r="H1048" s="3" t="n">
        <v>0</v>
      </c>
    </row>
    <row r="1049" customFormat="false" ht="14.25" hidden="false" customHeight="true" outlineLevel="0" collapsed="false">
      <c r="A1049" s="1"/>
      <c r="B1049" s="1" t="s">
        <v>1161</v>
      </c>
      <c r="C1049" s="1" t="n">
        <v>13</v>
      </c>
      <c r="E1049" s="11" t="s">
        <v>94</v>
      </c>
      <c r="F1049" s="11" t="str">
        <f aca="false">IFERROR(__xludf.dummyfunction("GOOGLETRANSLATE(B1049,""en"",""ar"")"),"يضرب")</f>
        <v>يضرب</v>
      </c>
      <c r="G1049" s="3" t="n">
        <v>0</v>
      </c>
      <c r="H1049" s="3" t="n">
        <v>0</v>
      </c>
    </row>
    <row r="1050" customFormat="false" ht="14.25" hidden="false" customHeight="true" outlineLevel="0" collapsed="false">
      <c r="A1050" s="1"/>
      <c r="B1050" s="1" t="s">
        <v>1162</v>
      </c>
      <c r="C1050" s="1" t="n">
        <v>13</v>
      </c>
      <c r="E1050" s="11" t="s">
        <v>112</v>
      </c>
      <c r="F1050" s="11" t="str">
        <f aca="false">IFERROR(__xludf.dummyfunction("GOOGLETRANSLATE(B1050,""en"",""ar"")"),"قانوني")</f>
        <v>قانوني</v>
      </c>
      <c r="G1050" s="3" t="n">
        <v>0</v>
      </c>
      <c r="H1050" s="3" t="n">
        <v>0</v>
      </c>
    </row>
    <row r="1051" customFormat="false" ht="14.25" hidden="false" customHeight="true" outlineLevel="0" collapsed="false">
      <c r="A1051" s="1"/>
      <c r="B1051" s="1" t="s">
        <v>1163</v>
      </c>
      <c r="C1051" s="1" t="n">
        <v>13</v>
      </c>
      <c r="E1051" s="11" t="s">
        <v>119</v>
      </c>
      <c r="F1051" s="11" t="str">
        <f aca="false">IFERROR(__xludf.dummyfunction("GOOGLETRANSLATE(B1051,""en"",""ar"")"),"درس")</f>
        <v>درس</v>
      </c>
      <c r="G1051" s="3" t="n">
        <v>0</v>
      </c>
      <c r="H1051" s="3" t="n">
        <v>0</v>
      </c>
    </row>
    <row r="1052" customFormat="false" ht="14.25" hidden="false" customHeight="true" outlineLevel="0" collapsed="false">
      <c r="A1052" s="1"/>
      <c r="B1052" s="1" t="s">
        <v>1164</v>
      </c>
      <c r="C1052" s="1" t="n">
        <v>13</v>
      </c>
      <c r="E1052" s="11" t="s">
        <v>83</v>
      </c>
      <c r="F1052" s="11" t="str">
        <f aca="false">IFERROR(__xludf.dummyfunction("GOOGLETRANSLATE(B1052,""en"",""ar"")"),"دقيقة")</f>
        <v>دقيقة</v>
      </c>
      <c r="G1052" s="3" t="n">
        <v>0</v>
      </c>
      <c r="H1052" s="3" t="n">
        <v>0</v>
      </c>
    </row>
    <row r="1053" customFormat="false" ht="14.25" hidden="false" customHeight="true" outlineLevel="0" collapsed="false">
      <c r="A1053" s="1"/>
      <c r="B1053" s="1" t="s">
        <v>1165</v>
      </c>
      <c r="C1053" s="1" t="n">
        <v>13</v>
      </c>
      <c r="E1053" s="11" t="s">
        <v>248</v>
      </c>
      <c r="F1053" s="11" t="str">
        <f aca="false">IFERROR(__xludf.dummyfunction("GOOGLETRANSLATE(B1053,""en"",""ar"")"),"قرب")</f>
        <v>قرب</v>
      </c>
      <c r="G1053" s="3" t="n">
        <v>0</v>
      </c>
      <c r="H1053" s="3" t="n">
        <v>0</v>
      </c>
    </row>
    <row r="1054" customFormat="false" ht="14.25" hidden="false" customHeight="true" outlineLevel="0" collapsed="false">
      <c r="A1054" s="1"/>
      <c r="B1054" s="1" t="s">
        <v>1166</v>
      </c>
      <c r="C1054" s="1" t="n">
        <v>13</v>
      </c>
      <c r="E1054" s="11" t="s">
        <v>235</v>
      </c>
      <c r="F1054" s="11" t="str">
        <f aca="false">IFERROR(__xludf.dummyfunction("GOOGLETRANSLATE(B1054,""en"",""ar"")"),"هدف")</f>
        <v>هدف</v>
      </c>
      <c r="G1054" s="3" t="n">
        <v>0</v>
      </c>
      <c r="H1054" s="3" t="n">
        <v>0</v>
      </c>
    </row>
    <row r="1055" customFormat="false" ht="14.25" hidden="false" customHeight="true" outlineLevel="0" collapsed="false">
      <c r="A1055" s="1"/>
      <c r="B1055" s="1" t="s">
        <v>1167</v>
      </c>
      <c r="C1055" s="1" t="n">
        <v>13</v>
      </c>
      <c r="E1055" s="11" t="s">
        <v>119</v>
      </c>
      <c r="F1055" s="11" t="str">
        <f aca="false">IFERROR(__xludf.dummyfunction("GOOGLETRANSLATE(B1055,""en"",""ar"")"),"ضابط")</f>
        <v>ضابط</v>
      </c>
      <c r="G1055" s="3" t="n">
        <v>0</v>
      </c>
      <c r="H1055" s="3" t="n">
        <v>0</v>
      </c>
    </row>
    <row r="1056" customFormat="false" ht="14.25" hidden="false" customHeight="true" outlineLevel="0" collapsed="false">
      <c r="A1056" s="1"/>
      <c r="B1056" s="1" t="s">
        <v>1168</v>
      </c>
      <c r="C1056" s="1" t="n">
        <v>13</v>
      </c>
      <c r="E1056" s="11" t="s">
        <v>79</v>
      </c>
      <c r="F1056" s="11" t="str">
        <f aca="false">IFERROR(__xludf.dummyfunction("GOOGLETRANSLATE(B1056,""en"",""ar"")"),"إنطباع")</f>
        <v>إنطباع</v>
      </c>
      <c r="G1056" s="3" t="n">
        <v>0</v>
      </c>
      <c r="H1056" s="3" t="n">
        <v>0</v>
      </c>
    </row>
    <row r="1057" customFormat="false" ht="14.25" hidden="false" customHeight="true" outlineLevel="0" collapsed="false">
      <c r="A1057" s="1"/>
      <c r="B1057" s="1" t="s">
        <v>1169</v>
      </c>
      <c r="C1057" s="1" t="n">
        <v>13</v>
      </c>
      <c r="E1057" s="11" t="s">
        <v>119</v>
      </c>
      <c r="F1057" s="11" t="str">
        <f aca="false">IFERROR(__xludf.dummyfunction("GOOGLETRANSLATE(B1057,""en"",""ar"")"),"مرحلة")</f>
        <v>مرحلة</v>
      </c>
      <c r="G1057" s="3" t="n">
        <v>0</v>
      </c>
      <c r="H1057" s="3" t="n">
        <v>0</v>
      </c>
    </row>
    <row r="1058" customFormat="false" ht="14.25" hidden="false" customHeight="true" outlineLevel="0" collapsed="false">
      <c r="A1058" s="1"/>
      <c r="B1058" s="1" t="s">
        <v>1170</v>
      </c>
      <c r="C1058" s="1" t="n">
        <v>13</v>
      </c>
      <c r="E1058" s="11" t="s">
        <v>79</v>
      </c>
      <c r="F1058" s="11" t="str">
        <f aca="false">IFERROR(__xludf.dummyfunction("GOOGLETRANSLATE(B1058,""en"",""ar"")"),"صورة")</f>
        <v>صورة</v>
      </c>
      <c r="G1058" s="3" t="n">
        <v>0</v>
      </c>
      <c r="H1058" s="3" t="n">
        <v>0</v>
      </c>
    </row>
    <row r="1059" customFormat="false" ht="14.25" hidden="false" customHeight="true" outlineLevel="0" collapsed="false">
      <c r="A1059" s="1"/>
      <c r="B1059" s="1" t="s">
        <v>1171</v>
      </c>
      <c r="C1059" s="1" t="n">
        <v>13</v>
      </c>
      <c r="E1059" s="11" t="s">
        <v>42</v>
      </c>
      <c r="F1059" s="11" t="str">
        <f aca="false">IFERROR(__xludf.dummyfunction("GOOGLETRANSLATE(B1059,""en"",""ar"")"),"حديثا")</f>
        <v>حديثا</v>
      </c>
      <c r="G1059" s="3" t="n">
        <v>0</v>
      </c>
      <c r="H1059" s="3" t="n">
        <v>0</v>
      </c>
    </row>
    <row r="1060" customFormat="false" ht="14.25" hidden="false" customHeight="true" outlineLevel="0" collapsed="false">
      <c r="A1060" s="1"/>
      <c r="B1060" s="1" t="s">
        <v>1172</v>
      </c>
      <c r="C1060" s="1" t="n">
        <v>13</v>
      </c>
      <c r="E1060" s="11" t="s">
        <v>79</v>
      </c>
      <c r="F1060" s="11" t="str">
        <f aca="false">IFERROR(__xludf.dummyfunction("GOOGLETRANSLATE(B1060,""en"",""ar"")"),"وصفة")</f>
        <v>وصفة</v>
      </c>
      <c r="G1060" s="3" t="n">
        <v>0</v>
      </c>
      <c r="H1060" s="3" t="n">
        <v>0</v>
      </c>
    </row>
    <row r="1061" customFormat="false" ht="14.25" hidden="false" customHeight="true" outlineLevel="0" collapsed="false">
      <c r="A1061" s="1"/>
      <c r="B1061" s="1" t="s">
        <v>1173</v>
      </c>
      <c r="C1061" s="1" t="n">
        <v>13</v>
      </c>
      <c r="E1061" s="11" t="s">
        <v>12</v>
      </c>
      <c r="F1061" s="11" t="str">
        <f aca="false">IFERROR(__xludf.dummyfunction("GOOGLETRANSLATE(B1061,""en"",""ar"")"),"نوصي")</f>
        <v>نوصي</v>
      </c>
      <c r="G1061" s="3" t="n">
        <v>0</v>
      </c>
      <c r="H1061" s="3" t="n">
        <v>0</v>
      </c>
    </row>
    <row r="1062" customFormat="false" ht="14.25" hidden="false" customHeight="true" outlineLevel="0" collapsed="false">
      <c r="A1062" s="1"/>
      <c r="B1062" s="1" t="s">
        <v>1174</v>
      </c>
      <c r="C1062" s="1" t="n">
        <v>13</v>
      </c>
      <c r="E1062" s="11" t="s">
        <v>128</v>
      </c>
      <c r="F1062" s="11" t="str">
        <f aca="false">IFERROR(__xludf.dummyfunction("GOOGLETRANSLATE(B1062,""en"",""ar"")"),"المرجعي")</f>
        <v>المرجعي</v>
      </c>
      <c r="G1062" s="3" t="n">
        <v>0</v>
      </c>
      <c r="H1062" s="3" t="n">
        <v>0</v>
      </c>
    </row>
    <row r="1063" customFormat="false" ht="14.25" hidden="false" customHeight="true" outlineLevel="0" collapsed="false">
      <c r="A1063" s="1"/>
      <c r="B1063" s="1" t="s">
        <v>1175</v>
      </c>
      <c r="C1063" s="1" t="n">
        <v>13</v>
      </c>
      <c r="E1063" s="11" t="s">
        <v>119</v>
      </c>
      <c r="F1063" s="11" t="str">
        <f aca="false">IFERROR(__xludf.dummyfunction("GOOGLETRANSLATE(B1063,""en"",""ar"")"),"تسجيل")</f>
        <v>تسجيل</v>
      </c>
      <c r="G1063" s="3" t="n">
        <v>0</v>
      </c>
      <c r="H1063" s="3" t="n">
        <v>0</v>
      </c>
    </row>
    <row r="1064" customFormat="false" ht="14.25" hidden="false" customHeight="true" outlineLevel="0" collapsed="false">
      <c r="A1064" s="1"/>
      <c r="B1064" s="1" t="s">
        <v>1176</v>
      </c>
      <c r="C1064" s="1" t="n">
        <v>13</v>
      </c>
      <c r="E1064" s="11" t="s">
        <v>112</v>
      </c>
      <c r="F1064" s="11" t="str">
        <f aca="false">IFERROR(__xludf.dummyfunction("GOOGLETRANSLATE(B1064,""en"",""ar"")"),"ذو صلة")</f>
        <v>ذو صلة</v>
      </c>
      <c r="G1064" s="3" t="n">
        <v>0</v>
      </c>
      <c r="H1064" s="3" t="n">
        <v>0</v>
      </c>
    </row>
    <row r="1065" customFormat="false" ht="14.25" hidden="false" customHeight="true" outlineLevel="0" collapsed="false">
      <c r="A1065" s="1"/>
      <c r="B1065" s="1" t="s">
        <v>1177</v>
      </c>
      <c r="C1065" s="1" t="n">
        <v>13</v>
      </c>
      <c r="E1065" s="11" t="s">
        <v>12</v>
      </c>
      <c r="F1065" s="11" t="str">
        <f aca="false">IFERROR(__xludf.dummyfunction("GOOGLETRANSLATE(B1065,""en"",""ar"")"),"يعتمد")</f>
        <v>يعتمد</v>
      </c>
      <c r="G1065" s="3" t="n">
        <v>0</v>
      </c>
      <c r="H1065" s="3" t="n">
        <v>0</v>
      </c>
    </row>
    <row r="1066" customFormat="false" ht="14.25" hidden="false" customHeight="true" outlineLevel="0" collapsed="false">
      <c r="A1066" s="1"/>
      <c r="B1066" s="1" t="s">
        <v>1178</v>
      </c>
      <c r="C1066" s="1" t="n">
        <v>13</v>
      </c>
      <c r="E1066" s="11" t="s">
        <v>179</v>
      </c>
      <c r="F1066" s="11" t="str">
        <f aca="false">IFERROR(__xludf.dummyfunction("GOOGLETRANSLATE(B1066,""en"",""ar"")"),"يؤمن")</f>
        <v>يؤمن</v>
      </c>
      <c r="G1066" s="3" t="n">
        <v>0</v>
      </c>
      <c r="H1066" s="3" t="n">
        <v>0</v>
      </c>
    </row>
    <row r="1067" customFormat="false" ht="14.25" hidden="false" customHeight="true" outlineLevel="0" collapsed="false">
      <c r="A1067" s="1"/>
      <c r="B1067" s="1" t="s">
        <v>1179</v>
      </c>
      <c r="C1067" s="1" t="n">
        <v>13</v>
      </c>
      <c r="E1067" s="11" t="s">
        <v>42</v>
      </c>
      <c r="F1067" s="11" t="str">
        <f aca="false">IFERROR(__xludf.dummyfunction("GOOGLETRANSLATE(B1067,""en"",""ar"")"),"عنجد")</f>
        <v>عنجد</v>
      </c>
      <c r="G1067" s="3" t="n">
        <v>0</v>
      </c>
      <c r="H1067" s="3" t="n">
        <v>0</v>
      </c>
    </row>
    <row r="1068" customFormat="false" ht="14.25" hidden="false" customHeight="true" outlineLevel="0" collapsed="false">
      <c r="A1068" s="1"/>
      <c r="B1068" s="1" t="s">
        <v>1180</v>
      </c>
      <c r="C1068" s="1" t="n">
        <v>13</v>
      </c>
      <c r="E1068" s="11" t="s">
        <v>170</v>
      </c>
      <c r="F1068" s="11" t="str">
        <f aca="false">IFERROR(__xludf.dummyfunction("GOOGLETRANSLATE(B1068,""en"",""ar"")"),"أطلق النار")</f>
        <v>أطلق النار</v>
      </c>
      <c r="G1068" s="3" t="n">
        <v>0</v>
      </c>
      <c r="H1068" s="3" t="n">
        <v>0</v>
      </c>
    </row>
    <row r="1069" customFormat="false" ht="14.25" hidden="false" customHeight="true" outlineLevel="0" collapsed="false">
      <c r="A1069" s="1"/>
      <c r="B1069" s="1" t="s">
        <v>1181</v>
      </c>
      <c r="C1069" s="1" t="n">
        <v>13</v>
      </c>
      <c r="E1069" s="11" t="s">
        <v>119</v>
      </c>
      <c r="F1069" s="11" t="str">
        <f aca="false">IFERROR(__xludf.dummyfunction("GOOGLETRANSLATE(B1069,""en"",""ar"")"),"سماء")</f>
        <v>سماء</v>
      </c>
      <c r="G1069" s="3" t="n">
        <v>0</v>
      </c>
      <c r="H1069" s="3" t="n">
        <v>0</v>
      </c>
    </row>
    <row r="1070" customFormat="false" ht="14.25" hidden="false" customHeight="true" outlineLevel="0" collapsed="false">
      <c r="A1070" s="1"/>
      <c r="B1070" s="1" t="s">
        <v>1182</v>
      </c>
      <c r="C1070" s="1" t="n">
        <v>13</v>
      </c>
      <c r="E1070" s="11" t="s">
        <v>119</v>
      </c>
      <c r="F1070" s="11" t="str">
        <f aca="false">IFERROR(__xludf.dummyfunction("GOOGLETRANSLATE(B1070,""en"",""ar"")"),"المسرح")</f>
        <v>المسرح</v>
      </c>
      <c r="G1070" s="3" t="n">
        <v>0</v>
      </c>
      <c r="H1070" s="3" t="n">
        <v>0</v>
      </c>
    </row>
    <row r="1071" customFormat="false" ht="14.25" hidden="false" customHeight="true" outlineLevel="0" collapsed="false">
      <c r="A1071" s="1"/>
      <c r="B1071" s="1" t="s">
        <v>1183</v>
      </c>
      <c r="C1071" s="1" t="n">
        <v>13</v>
      </c>
      <c r="E1071" s="11" t="s">
        <v>119</v>
      </c>
      <c r="F1071" s="11" t="str">
        <f aca="false">IFERROR(__xludf.dummyfunction("GOOGLETRANSLATE(B1071,""en"",""ar"")"),"عصا")</f>
        <v>عصا</v>
      </c>
      <c r="G1071" s="3" t="n">
        <v>0</v>
      </c>
      <c r="H1071" s="3" t="n">
        <v>0</v>
      </c>
    </row>
    <row r="1072" customFormat="false" ht="14.25" hidden="false" customHeight="true" outlineLevel="0" collapsed="false">
      <c r="A1072" s="1"/>
      <c r="B1072" s="1" t="s">
        <v>1184</v>
      </c>
      <c r="C1072" s="1" t="n">
        <v>13</v>
      </c>
      <c r="E1072" s="11" t="s">
        <v>79</v>
      </c>
      <c r="F1072" s="11" t="str">
        <f aca="false">IFERROR(__xludf.dummyfunction("GOOGLETRANSLATE(B1072,""en"",""ar"")"),"ستوديو")</f>
        <v>ستوديو</v>
      </c>
      <c r="G1072" s="3" t="n">
        <v>0</v>
      </c>
      <c r="H1072" s="3" t="n">
        <v>0</v>
      </c>
    </row>
    <row r="1073" customFormat="false" ht="14.25" hidden="false" customHeight="true" outlineLevel="0" collapsed="false">
      <c r="A1073" s="1"/>
      <c r="B1073" s="1" t="s">
        <v>1185</v>
      </c>
      <c r="C1073" s="1" t="n">
        <v>13</v>
      </c>
      <c r="E1073" s="11" t="s">
        <v>199</v>
      </c>
      <c r="F1073" s="11" t="str">
        <f aca="false">IFERROR(__xludf.dummyfunction("GOOGLETRANSLATE(B1073,""en"",""ar"")"),"نحيف")</f>
        <v>نحيف</v>
      </c>
      <c r="G1073" s="3" t="n">
        <v>0</v>
      </c>
      <c r="H1073" s="3" t="n">
        <v>0</v>
      </c>
    </row>
    <row r="1074" customFormat="false" ht="14.25" hidden="false" customHeight="true" outlineLevel="0" collapsed="false">
      <c r="A1074" s="1"/>
      <c r="B1074" s="1" t="s">
        <v>1186</v>
      </c>
      <c r="C1074" s="1" t="n">
        <v>13</v>
      </c>
      <c r="E1074" s="11" t="s">
        <v>119</v>
      </c>
      <c r="F1074" s="11" t="str">
        <f aca="false">IFERROR(__xludf.dummyfunction("GOOGLETRANSLATE(B1074,""en"",""ar"")"),"لقب")</f>
        <v>لقب</v>
      </c>
      <c r="G1074" s="3" t="n">
        <v>0</v>
      </c>
      <c r="H1074" s="3" t="n">
        <v>0</v>
      </c>
    </row>
    <row r="1075" customFormat="false" ht="14.25" hidden="false" customHeight="true" outlineLevel="0" collapsed="false">
      <c r="A1075" s="1"/>
      <c r="B1075" s="1" t="s">
        <v>1187</v>
      </c>
      <c r="C1075" s="1" t="n">
        <v>13</v>
      </c>
      <c r="E1075" s="11" t="s">
        <v>79</v>
      </c>
      <c r="F1075" s="11" t="str">
        <f aca="false">IFERROR(__xludf.dummyfunction("GOOGLETRANSLATE(B1075,""en"",""ar"")"),"عنوان")</f>
        <v>عنوان</v>
      </c>
      <c r="G1075" s="3" t="n">
        <v>0</v>
      </c>
      <c r="H1075" s="3" t="n">
        <v>0</v>
      </c>
    </row>
    <row r="1076" customFormat="false" ht="14.25" hidden="false" customHeight="true" outlineLevel="0" collapsed="false">
      <c r="A1076" s="1"/>
      <c r="B1076" s="1" t="s">
        <v>1188</v>
      </c>
      <c r="C1076" s="1" t="n">
        <v>13</v>
      </c>
      <c r="E1076" s="11" t="s">
        <v>94</v>
      </c>
      <c r="F1076" s="11" t="str">
        <f aca="false">IFERROR(__xludf.dummyfunction("GOOGLETRANSLATE(B1076,""en"",""ar"")"),"يلمس")</f>
        <v>يلمس</v>
      </c>
      <c r="G1076" s="3" t="n">
        <v>0</v>
      </c>
      <c r="H1076" s="3" t="n">
        <v>0</v>
      </c>
    </row>
    <row r="1077" customFormat="false" ht="14.25" hidden="false" customHeight="true" outlineLevel="0" collapsed="false">
      <c r="A1077" s="1"/>
      <c r="B1077" s="1" t="s">
        <v>1189</v>
      </c>
      <c r="C1077" s="1" t="n">
        <v>13</v>
      </c>
      <c r="E1077" s="11" t="s">
        <v>119</v>
      </c>
      <c r="F1077" s="11" t="str">
        <f aca="false">IFERROR(__xludf.dummyfunction("GOOGLETRANSLATE(B1077,""en"",""ar"")"),"مشكلة")</f>
        <v>مشكلة</v>
      </c>
      <c r="G1077" s="3" t="n">
        <v>0</v>
      </c>
      <c r="H1077" s="3" t="n">
        <v>0</v>
      </c>
    </row>
    <row r="1078" customFormat="false" ht="14.25" hidden="false" customHeight="true" outlineLevel="0" collapsed="false">
      <c r="A1078" s="1"/>
      <c r="B1078" s="1" t="s">
        <v>1190</v>
      </c>
      <c r="C1078" s="1" t="n">
        <v>13</v>
      </c>
      <c r="E1078" s="11" t="s">
        <v>12</v>
      </c>
      <c r="F1078" s="11" t="str">
        <f aca="false">IFERROR(__xludf.dummyfunction("GOOGLETRANSLATE(B1078,""en"",""ar"")"),"يتغير")</f>
        <v>يتغير</v>
      </c>
      <c r="G1078" s="3" t="n">
        <v>0</v>
      </c>
      <c r="H1078" s="3" t="n">
        <v>0</v>
      </c>
    </row>
    <row r="1079" customFormat="false" ht="14.25" hidden="false" customHeight="true" outlineLevel="0" collapsed="false">
      <c r="A1079" s="1"/>
      <c r="B1079" s="1" t="s">
        <v>1191</v>
      </c>
      <c r="C1079" s="1" t="n">
        <v>12</v>
      </c>
      <c r="E1079" s="11" t="s">
        <v>112</v>
      </c>
      <c r="F1079" s="11" t="str">
        <f aca="false">IFERROR(__xludf.dummyfunction("GOOGLETRANSLATE(B1079,""en"",""ar"")"),"دقيق")</f>
        <v>دقيق</v>
      </c>
      <c r="G1079" s="3" t="n">
        <v>0</v>
      </c>
      <c r="H1079" s="3" t="n">
        <v>0</v>
      </c>
    </row>
    <row r="1080" customFormat="false" ht="14.25" hidden="false" customHeight="true" outlineLevel="0" collapsed="false">
      <c r="A1080" s="1"/>
      <c r="B1080" s="1" t="s">
        <v>1192</v>
      </c>
      <c r="C1080" s="1" t="n">
        <v>12</v>
      </c>
      <c r="E1080" s="11" t="s">
        <v>1193</v>
      </c>
      <c r="F1080" s="11" t="str">
        <f aca="false">IFERROR(__xludf.dummyfunction("GOOGLETRANSLATE(B1080,""en"",""ar"")"),"المتقدمة")</f>
        <v>المتقدمة</v>
      </c>
      <c r="G1080" s="3" t="n">
        <v>0</v>
      </c>
      <c r="H1080" s="3" t="n">
        <v>0</v>
      </c>
    </row>
    <row r="1081" customFormat="false" ht="14.25" hidden="false" customHeight="true" outlineLevel="0" collapsed="false">
      <c r="A1081" s="1"/>
      <c r="B1081" s="1" t="s">
        <v>1194</v>
      </c>
      <c r="C1081" s="1" t="n">
        <v>12</v>
      </c>
      <c r="E1081" s="11" t="s">
        <v>119</v>
      </c>
      <c r="F1081" s="11" t="str">
        <f aca="false">IFERROR(__xludf.dummyfunction("GOOGLETRANSLATE(B1081,""en"",""ar"")"),"صحن")</f>
        <v>صحن</v>
      </c>
      <c r="G1081" s="3" t="n">
        <v>0</v>
      </c>
      <c r="H1081" s="3" t="n">
        <v>0</v>
      </c>
    </row>
    <row r="1082" customFormat="false" ht="14.25" hidden="false" customHeight="true" outlineLevel="0" collapsed="false">
      <c r="A1082" s="1"/>
      <c r="B1082" s="1" t="s">
        <v>1195</v>
      </c>
      <c r="C1082" s="1" t="n">
        <v>12</v>
      </c>
      <c r="E1082" s="11" t="s">
        <v>119</v>
      </c>
      <c r="F1082" s="11" t="str">
        <f aca="false">IFERROR(__xludf.dummyfunction("GOOGLETRANSLATE(B1082,""en"",""ar"")"),"كوبري")</f>
        <v>كوبري</v>
      </c>
      <c r="G1082" s="3" t="n">
        <v>0</v>
      </c>
      <c r="H1082" s="3" t="n">
        <v>0</v>
      </c>
    </row>
    <row r="1083" customFormat="false" ht="14.25" hidden="false" customHeight="true" outlineLevel="0" collapsed="false">
      <c r="A1083" s="1"/>
      <c r="B1083" s="1" t="s">
        <v>1196</v>
      </c>
      <c r="C1083" s="1" t="n">
        <v>12</v>
      </c>
      <c r="E1083" s="11" t="s">
        <v>119</v>
      </c>
      <c r="F1083" s="11" t="str">
        <f aca="false">IFERROR(__xludf.dummyfunction("GOOGLETRANSLATE(B1083,""en"",""ar"")"),"حملة")</f>
        <v>حملة</v>
      </c>
      <c r="G1083" s="3" t="n">
        <v>0</v>
      </c>
      <c r="H1083" s="3" t="n">
        <v>0</v>
      </c>
    </row>
    <row r="1084" customFormat="false" ht="14.25" hidden="false" customHeight="true" outlineLevel="0" collapsed="false">
      <c r="A1084" s="1"/>
      <c r="B1084" s="1" t="s">
        <v>1197</v>
      </c>
      <c r="C1084" s="1" t="n">
        <v>12</v>
      </c>
      <c r="E1084" s="11" t="s">
        <v>94</v>
      </c>
      <c r="F1084" s="11" t="str">
        <f aca="false">IFERROR(__xludf.dummyfunction("GOOGLETRANSLATE(B1084,""en"",""ar"")"),"إلغاء")</f>
        <v>إلغاء</v>
      </c>
      <c r="G1084" s="3" t="n">
        <v>0</v>
      </c>
      <c r="H1084" s="3" t="n">
        <v>0</v>
      </c>
    </row>
    <row r="1085" customFormat="false" ht="14.25" hidden="false" customHeight="true" outlineLevel="0" collapsed="false">
      <c r="A1085" s="1"/>
      <c r="B1085" s="1" t="s">
        <v>1198</v>
      </c>
      <c r="C1085" s="1" t="n">
        <v>12</v>
      </c>
      <c r="E1085" s="11" t="s">
        <v>112</v>
      </c>
      <c r="F1085" s="11" t="str">
        <f aca="false">IFERROR(__xludf.dummyfunction("GOOGLETRANSLATE(B1085,""en"",""ar"")"),"قادر")</f>
        <v>قادر</v>
      </c>
      <c r="G1085" s="3" t="n">
        <v>0</v>
      </c>
      <c r="H1085" s="3" t="n">
        <v>0</v>
      </c>
    </row>
    <row r="1086" customFormat="false" ht="14.25" hidden="false" customHeight="true" outlineLevel="0" collapsed="false">
      <c r="A1086" s="1"/>
      <c r="B1086" s="1" t="s">
        <v>1199</v>
      </c>
      <c r="C1086" s="1" t="n">
        <v>12</v>
      </c>
      <c r="E1086" s="11" t="s">
        <v>83</v>
      </c>
      <c r="F1086" s="11" t="str">
        <f aca="false">IFERROR(__xludf.dummyfunction("GOOGLETRANSLATE(B1086,""en"",""ar"")"),"حرف")</f>
        <v>حرف</v>
      </c>
      <c r="G1086" s="3" t="n">
        <v>0</v>
      </c>
      <c r="H1086" s="3" t="n">
        <v>0</v>
      </c>
    </row>
    <row r="1087" customFormat="false" ht="14.25" hidden="false" customHeight="true" outlineLevel="0" collapsed="false">
      <c r="A1087" s="1"/>
      <c r="B1087" s="1" t="s">
        <v>1200</v>
      </c>
      <c r="C1087" s="1" t="n">
        <v>12</v>
      </c>
      <c r="E1087" s="11" t="s">
        <v>235</v>
      </c>
      <c r="F1087" s="11" t="str">
        <f aca="false">IFERROR(__xludf.dummyfunction("GOOGLETRANSLATE(B1087,""en"",""ar"")"),"المواد الكيميائية")</f>
        <v>المواد الكيميائية</v>
      </c>
      <c r="G1087" s="3" t="n">
        <v>0</v>
      </c>
      <c r="H1087" s="3" t="n">
        <v>0</v>
      </c>
    </row>
    <row r="1088" customFormat="false" ht="14.25" hidden="false" customHeight="true" outlineLevel="0" collapsed="false">
      <c r="A1088" s="1"/>
      <c r="B1088" s="1" t="s">
        <v>1201</v>
      </c>
      <c r="C1088" s="1" t="n">
        <v>12</v>
      </c>
      <c r="E1088" s="11" t="s">
        <v>119</v>
      </c>
      <c r="F1088" s="11" t="str">
        <f aca="false">IFERROR(__xludf.dummyfunction("GOOGLETRANSLATE(B1088,""en"",""ar"")"),"النادي")</f>
        <v>النادي</v>
      </c>
      <c r="G1088" s="3" t="n">
        <v>0</v>
      </c>
      <c r="H1088" s="3" t="n">
        <v>0</v>
      </c>
    </row>
    <row r="1089" customFormat="false" ht="14.25" hidden="false" customHeight="true" outlineLevel="0" collapsed="false">
      <c r="A1089" s="1"/>
      <c r="B1089" s="1" t="s">
        <v>1202</v>
      </c>
      <c r="C1089" s="1" t="n">
        <v>12</v>
      </c>
      <c r="E1089" s="11" t="s">
        <v>79</v>
      </c>
      <c r="F1089" s="11" t="str">
        <f aca="false">IFERROR(__xludf.dummyfunction("GOOGLETRANSLATE(B1089,""en"",""ar"")"),"مجموعة")</f>
        <v>مجموعة</v>
      </c>
      <c r="G1089" s="3" t="n">
        <v>0</v>
      </c>
      <c r="H1089" s="3" t="n">
        <v>0</v>
      </c>
    </row>
    <row r="1090" customFormat="false" ht="14.25" hidden="false" customHeight="true" outlineLevel="0" collapsed="false">
      <c r="A1090" s="1"/>
      <c r="B1090" s="1" t="s">
        <v>1203</v>
      </c>
      <c r="C1090" s="1" t="n">
        <v>12</v>
      </c>
      <c r="E1090" s="11" t="s">
        <v>205</v>
      </c>
      <c r="F1090" s="11" t="str">
        <f aca="false">IFERROR(__xludf.dummyfunction("GOOGLETRANSLATE(B1090,""en"",""ar"")"),"بارد")</f>
        <v>بارد</v>
      </c>
      <c r="G1090" s="3" t="n">
        <v>0</v>
      </c>
      <c r="H1090" s="3" t="n">
        <v>0</v>
      </c>
    </row>
    <row r="1091" customFormat="false" ht="14.25" hidden="false" customHeight="true" outlineLevel="0" collapsed="false">
      <c r="A1091" s="1"/>
      <c r="B1091" s="1" t="s">
        <v>1204</v>
      </c>
      <c r="C1091" s="1" t="n">
        <v>12</v>
      </c>
      <c r="E1091" s="11" t="s">
        <v>1205</v>
      </c>
      <c r="F1091" s="11" t="str">
        <f aca="false">IFERROR(__xludf.dummyfunction("GOOGLETRANSLATE(B1091,""en"",""ar"")"),"بكاء")</f>
        <v>بكاء</v>
      </c>
      <c r="G1091" s="3" t="n">
        <v>0</v>
      </c>
      <c r="H1091" s="3" t="n">
        <v>0</v>
      </c>
    </row>
    <row r="1092" customFormat="false" ht="14.25" hidden="false" customHeight="true" outlineLevel="0" collapsed="false">
      <c r="A1092" s="1"/>
      <c r="B1092" s="1" t="s">
        <v>1206</v>
      </c>
      <c r="C1092" s="1" t="n">
        <v>12</v>
      </c>
      <c r="E1092" s="11" t="s">
        <v>112</v>
      </c>
      <c r="F1092" s="11" t="str">
        <f aca="false">IFERROR(__xludf.dummyfunction("GOOGLETRANSLATE(B1092,""en"",""ar"")"),"خطير")</f>
        <v>خطير</v>
      </c>
      <c r="G1092" s="3" t="n">
        <v>0</v>
      </c>
      <c r="H1092" s="3" t="n">
        <v>0</v>
      </c>
    </row>
    <row r="1093" customFormat="false" ht="14.25" hidden="false" customHeight="true" outlineLevel="0" collapsed="false">
      <c r="A1093" s="1"/>
      <c r="B1093" s="1" t="s">
        <v>1207</v>
      </c>
      <c r="C1093" s="1" t="n">
        <v>12</v>
      </c>
      <c r="E1093" s="11" t="s">
        <v>79</v>
      </c>
      <c r="F1093" s="11" t="str">
        <f aca="false">IFERROR(__xludf.dummyfunction("GOOGLETRANSLATE(B1093,""en"",""ar"")"),"كآبة")</f>
        <v>كآبة</v>
      </c>
      <c r="G1093" s="3" t="n">
        <v>0</v>
      </c>
      <c r="H1093" s="3" t="n">
        <v>0</v>
      </c>
    </row>
    <row r="1094" customFormat="false" ht="14.25" hidden="false" customHeight="true" outlineLevel="0" collapsed="false">
      <c r="A1094" s="1"/>
      <c r="B1094" s="1" t="s">
        <v>1208</v>
      </c>
      <c r="C1094" s="1" t="n">
        <v>12</v>
      </c>
      <c r="E1094" s="11" t="s">
        <v>1205</v>
      </c>
      <c r="F1094" s="11" t="str">
        <f aca="false">IFERROR(__xludf.dummyfunction("GOOGLETRANSLATE(B1094,""en"",""ar"")"),"أحمق")</f>
        <v>أحمق</v>
      </c>
      <c r="G1094" s="3" t="n">
        <v>0</v>
      </c>
      <c r="H1094" s="3" t="n">
        <v>0</v>
      </c>
    </row>
    <row r="1095" customFormat="false" ht="14.25" hidden="false" customHeight="true" outlineLevel="0" collapsed="false">
      <c r="A1095" s="1"/>
      <c r="B1095" s="1" t="s">
        <v>1209</v>
      </c>
      <c r="C1095" s="1" t="n">
        <v>12</v>
      </c>
      <c r="E1095" s="11" t="s">
        <v>1210</v>
      </c>
      <c r="F1095" s="11" t="str">
        <f aca="false">IFERROR(__xludf.dummyfunction("GOOGLETRANSLATE(B1095,""en"",""ar"")"),"حافة")</f>
        <v>حافة</v>
      </c>
      <c r="G1095" s="3" t="n">
        <v>0</v>
      </c>
      <c r="H1095" s="3" t="n">
        <v>0</v>
      </c>
    </row>
    <row r="1096" customFormat="false" ht="14.25" hidden="false" customHeight="true" outlineLevel="0" collapsed="false">
      <c r="A1096" s="1"/>
      <c r="B1096" s="1" t="s">
        <v>1211</v>
      </c>
      <c r="C1096" s="1" t="n">
        <v>12</v>
      </c>
      <c r="E1096" s="11" t="s">
        <v>1210</v>
      </c>
      <c r="F1096" s="11" t="str">
        <f aca="false">IFERROR(__xludf.dummyfunction("GOOGLETRANSLATE(B1096,""en"",""ar"")"),"دليل")</f>
        <v>دليل</v>
      </c>
      <c r="G1096" s="3" t="n">
        <v>0</v>
      </c>
      <c r="H1096" s="3" t="n">
        <v>0</v>
      </c>
    </row>
    <row r="1097" customFormat="false" ht="14.25" hidden="false" customHeight="true" outlineLevel="0" collapsed="false">
      <c r="A1097" s="1"/>
      <c r="B1097" s="1" t="s">
        <v>1212</v>
      </c>
      <c r="C1097" s="1" t="n">
        <v>12</v>
      </c>
      <c r="E1097" s="11" t="s">
        <v>235</v>
      </c>
      <c r="F1097" s="11" t="str">
        <f aca="false">IFERROR(__xludf.dummyfunction("GOOGLETRANSLATE(B1097,""en"",""ar"")"),"شديد")</f>
        <v>شديد</v>
      </c>
      <c r="G1097" s="3" t="n">
        <v>0</v>
      </c>
      <c r="H1097" s="3" t="n">
        <v>0</v>
      </c>
    </row>
    <row r="1098" customFormat="false" ht="14.25" hidden="false" customHeight="true" outlineLevel="0" collapsed="false">
      <c r="A1098" s="1"/>
      <c r="B1098" s="1" t="s">
        <v>1213</v>
      </c>
      <c r="C1098" s="1" t="n">
        <v>12</v>
      </c>
      <c r="E1098" s="11" t="s">
        <v>1210</v>
      </c>
      <c r="F1098" s="11" t="str">
        <f aca="false">IFERROR(__xludf.dummyfunction("GOOGLETRANSLATE(B1098,""en"",""ar"")"),"المعجب")</f>
        <v>المعجب</v>
      </c>
      <c r="G1098" s="3" t="n">
        <v>0</v>
      </c>
      <c r="H1098" s="3" t="n">
        <v>0</v>
      </c>
    </row>
    <row r="1099" customFormat="false" ht="14.25" hidden="false" customHeight="true" outlineLevel="0" collapsed="false">
      <c r="A1099" s="1"/>
      <c r="B1099" s="1" t="s">
        <v>1214</v>
      </c>
      <c r="C1099" s="1" t="n">
        <v>12</v>
      </c>
      <c r="E1099" s="11" t="s">
        <v>42</v>
      </c>
      <c r="F1099" s="11" t="str">
        <f aca="false">IFERROR(__xludf.dummyfunction("GOOGLETRANSLATE(B1099,""en"",""ar"")"),"في كثير من الأحيان")</f>
        <v>في كثير من الأحيان</v>
      </c>
      <c r="G1099" s="3" t="n">
        <v>0</v>
      </c>
      <c r="H1099" s="3" t="n">
        <v>0</v>
      </c>
    </row>
    <row r="1100" customFormat="false" ht="14.25" hidden="false" customHeight="true" outlineLevel="0" collapsed="false">
      <c r="A1100" s="1"/>
      <c r="B1100" s="1" t="s">
        <v>1215</v>
      </c>
      <c r="C1100" s="1" t="n">
        <v>12</v>
      </c>
      <c r="E1100" s="11" t="s">
        <v>42</v>
      </c>
      <c r="F1100" s="11" t="str">
        <f aca="false">IFERROR(__xludf.dummyfunction("GOOGLETRANSLATE(B1100,""en"",""ar"")"),"تماما")</f>
        <v>تماما</v>
      </c>
      <c r="G1100" s="3" t="n">
        <v>0</v>
      </c>
      <c r="H1100" s="3" t="n">
        <v>0</v>
      </c>
    </row>
    <row r="1101" customFormat="false" ht="14.25" hidden="false" customHeight="true" outlineLevel="0" collapsed="false">
      <c r="A1101" s="1"/>
      <c r="B1101" s="1" t="s">
        <v>1216</v>
      </c>
      <c r="C1101" s="1" t="n">
        <v>12</v>
      </c>
      <c r="E1101" s="11" t="s">
        <v>12</v>
      </c>
      <c r="F1101" s="11" t="str">
        <f aca="false">IFERROR(__xludf.dummyfunction("GOOGLETRANSLATE(B1101,""en"",""ar"")"),"انشاء")</f>
        <v>انشاء</v>
      </c>
      <c r="G1101" s="3" t="n">
        <v>0</v>
      </c>
      <c r="H1101" s="3" t="n">
        <v>0</v>
      </c>
    </row>
    <row r="1102" customFormat="false" ht="14.25" hidden="false" customHeight="true" outlineLevel="0" collapsed="false">
      <c r="A1102" s="1"/>
      <c r="B1102" s="1" t="s">
        <v>1217</v>
      </c>
      <c r="C1102" s="1" t="n">
        <v>12</v>
      </c>
      <c r="E1102" s="11" t="s">
        <v>79</v>
      </c>
      <c r="F1102" s="11" t="str">
        <f aca="false">IFERROR(__xludf.dummyfunction("GOOGLETRANSLATE(B1102,""en"",""ar"")"),"خيال")</f>
        <v>خيال</v>
      </c>
      <c r="G1102" s="3" t="n">
        <v>0</v>
      </c>
      <c r="H1102" s="3" t="n">
        <v>0</v>
      </c>
    </row>
    <row r="1103" customFormat="false" ht="14.25" hidden="false" customHeight="true" outlineLevel="0" collapsed="false">
      <c r="A1103" s="1"/>
      <c r="B1103" s="1" t="s">
        <v>1218</v>
      </c>
      <c r="C1103" s="1" t="n">
        <v>12</v>
      </c>
      <c r="E1103" s="11" t="s">
        <v>1210</v>
      </c>
      <c r="F1103" s="11" t="str">
        <f aca="false">IFERROR(__xludf.dummyfunction("GOOGLETRANSLATE(B1103,""en"",""ar"")"),"خطاب")</f>
        <v>خطاب</v>
      </c>
      <c r="G1103" s="3" t="n">
        <v>0</v>
      </c>
      <c r="H1103" s="3" t="n">
        <v>0</v>
      </c>
    </row>
    <row r="1104" customFormat="false" ht="14.25" hidden="false" customHeight="true" outlineLevel="0" collapsed="false">
      <c r="A1104" s="1"/>
      <c r="B1104" s="1" t="s">
        <v>1219</v>
      </c>
      <c r="C1104" s="1" t="n">
        <v>12</v>
      </c>
      <c r="E1104" s="11" t="s">
        <v>1210</v>
      </c>
      <c r="F1104" s="11" t="str">
        <f aca="false">IFERROR(__xludf.dummyfunction("GOOGLETRANSLATE(B1104,""en"",""ar"")"),"قفل")</f>
        <v>قفل</v>
      </c>
      <c r="G1104" s="3" t="n">
        <v>0</v>
      </c>
      <c r="H1104" s="3" t="n">
        <v>0</v>
      </c>
    </row>
    <row r="1105" customFormat="false" ht="14.25" hidden="false" customHeight="true" outlineLevel="0" collapsed="false">
      <c r="A1105" s="1"/>
      <c r="B1105" s="1" t="s">
        <v>1220</v>
      </c>
      <c r="C1105" s="1" t="n">
        <v>12</v>
      </c>
      <c r="E1105" s="11" t="s">
        <v>148</v>
      </c>
      <c r="F1105" s="11" t="str">
        <f aca="false">IFERROR(__xludf.dummyfunction("GOOGLETRANSLATE(B1105,""en"",""ar"")"),"أقصى")</f>
        <v>أقصى</v>
      </c>
      <c r="G1105" s="3" t="n">
        <v>0</v>
      </c>
      <c r="H1105" s="3" t="n">
        <v>0</v>
      </c>
    </row>
    <row r="1106" customFormat="false" ht="14.25" hidden="false" customHeight="true" outlineLevel="0" collapsed="false">
      <c r="A1106" s="1"/>
      <c r="B1106" s="1" t="s">
        <v>1221</v>
      </c>
      <c r="C1106" s="1" t="n">
        <v>12</v>
      </c>
      <c r="E1106" s="11" t="s">
        <v>42</v>
      </c>
      <c r="F1106" s="11" t="str">
        <f aca="false">IFERROR(__xludf.dummyfunction("GOOGLETRANSLATE(B1106,""en"",""ar"")"),"خاصة")</f>
        <v>خاصة</v>
      </c>
      <c r="G1106" s="3" t="n">
        <v>0</v>
      </c>
      <c r="H1106" s="3" t="n">
        <v>0</v>
      </c>
    </row>
    <row r="1107" customFormat="false" ht="14.25" hidden="false" customHeight="true" outlineLevel="0" collapsed="false">
      <c r="A1107" s="1"/>
      <c r="B1107" s="1" t="s">
        <v>1222</v>
      </c>
      <c r="C1107" s="1" t="n">
        <v>12</v>
      </c>
      <c r="E1107" s="11" t="s">
        <v>30</v>
      </c>
      <c r="F1107" s="11" t="str">
        <f aca="false">IFERROR(__xludf.dummyfunction("GOOGLETRANSLATE(B1107,""en"",""ar"")"),"نفسي")</f>
        <v>نفسي</v>
      </c>
      <c r="G1107" s="3" t="n">
        <v>0</v>
      </c>
      <c r="H1107" s="3" t="n">
        <v>0</v>
      </c>
    </row>
    <row r="1108" customFormat="false" ht="14.25" hidden="false" customHeight="true" outlineLevel="0" collapsed="false">
      <c r="A1108" s="1"/>
      <c r="B1108" s="1" t="s">
        <v>1223</v>
      </c>
      <c r="C1108" s="1" t="n">
        <v>12</v>
      </c>
      <c r="E1108" s="11" t="s">
        <v>42</v>
      </c>
      <c r="F1108" s="11" t="str">
        <f aca="false">IFERROR(__xludf.dummyfunction("GOOGLETRANSLATE(B1108,""en"",""ar"")"),"بطبيعة الحال")</f>
        <v>بطبيعة الحال</v>
      </c>
      <c r="G1108" s="3" t="n">
        <v>0</v>
      </c>
      <c r="H1108" s="3" t="n">
        <v>0</v>
      </c>
    </row>
    <row r="1109" customFormat="false" ht="14.25" hidden="false" customHeight="true" outlineLevel="0" collapsed="false">
      <c r="A1109" s="1"/>
      <c r="B1109" s="1" t="s">
        <v>1224</v>
      </c>
      <c r="C1109" s="1" t="n">
        <v>12</v>
      </c>
      <c r="E1109" s="11" t="s">
        <v>42</v>
      </c>
      <c r="F1109" s="11" t="str">
        <f aca="false">IFERROR(__xludf.dummyfunction("GOOGLETRANSLATE(B1109,""en"",""ar"")"),"تقريبا")</f>
        <v>تقريبا</v>
      </c>
      <c r="G1109" s="3" t="n">
        <v>0</v>
      </c>
      <c r="H1109" s="3" t="n">
        <v>0</v>
      </c>
    </row>
    <row r="1110" customFormat="false" ht="14.25" hidden="false" customHeight="true" outlineLevel="0" collapsed="false">
      <c r="A1110" s="1"/>
      <c r="B1110" s="1" t="s">
        <v>1225</v>
      </c>
      <c r="C1110" s="1" t="n">
        <v>12</v>
      </c>
      <c r="E1110" s="11" t="s">
        <v>148</v>
      </c>
      <c r="F1110" s="11" t="str">
        <f aca="false">IFERROR(__xludf.dummyfunction("GOOGLETRANSLATE(B1110,""en"",""ar"")"),"رواية")</f>
        <v>رواية</v>
      </c>
      <c r="G1110" s="3" t="n">
        <v>0</v>
      </c>
      <c r="H1110" s="3" t="n">
        <v>0</v>
      </c>
    </row>
    <row r="1111" customFormat="false" ht="14.25" hidden="false" customHeight="true" outlineLevel="0" collapsed="false">
      <c r="A1111" s="1"/>
      <c r="B1111" s="1" t="s">
        <v>1226</v>
      </c>
      <c r="C1111" s="1" t="n">
        <v>12</v>
      </c>
      <c r="E1111" s="11" t="s">
        <v>12</v>
      </c>
      <c r="F1111" s="11" t="str">
        <f aca="false">IFERROR(__xludf.dummyfunction("GOOGLETRANSLATE(B1111,""en"",""ar"")"),"الحصول على")</f>
        <v>الحصول على</v>
      </c>
      <c r="G1111" s="3" t="n">
        <v>0</v>
      </c>
      <c r="H1111" s="3" t="n">
        <v>0</v>
      </c>
    </row>
    <row r="1112" customFormat="false" ht="14.25" hidden="false" customHeight="true" outlineLevel="0" collapsed="false">
      <c r="A1112" s="1"/>
      <c r="B1112" s="1" t="s">
        <v>1227</v>
      </c>
      <c r="C1112" s="1" t="n">
        <v>12</v>
      </c>
      <c r="E1112" s="11" t="s">
        <v>42</v>
      </c>
      <c r="F1112" s="11" t="str">
        <f aca="false">IFERROR(__xludf.dummyfunction("GOOGLETRANSLATE(B1112,""en"",""ar"")"),"من حين اخر")</f>
        <v>من حين اخر</v>
      </c>
      <c r="G1112" s="3" t="n">
        <v>0</v>
      </c>
      <c r="H1112" s="3" t="n">
        <v>0</v>
      </c>
    </row>
    <row r="1113" customFormat="false" ht="14.25" hidden="false" customHeight="true" outlineLevel="0" collapsed="false">
      <c r="A1113" s="1"/>
      <c r="B1113" s="1" t="s">
        <v>1228</v>
      </c>
      <c r="C1113" s="1" t="n">
        <v>12</v>
      </c>
      <c r="E1113" s="11" t="s">
        <v>119</v>
      </c>
      <c r="F1113" s="11" t="str">
        <f aca="false">IFERROR(__xludf.dummyfunction("GOOGLETRANSLATE(B1113,""en"",""ar"")"),"اختيار")</f>
        <v>اختيار</v>
      </c>
      <c r="G1113" s="3" t="n">
        <v>0</v>
      </c>
      <c r="H1113" s="3" t="n">
        <v>0</v>
      </c>
    </row>
    <row r="1114" customFormat="false" ht="14.25" hidden="false" customHeight="true" outlineLevel="0" collapsed="false">
      <c r="A1114" s="1"/>
      <c r="B1114" s="1" t="s">
        <v>1229</v>
      </c>
      <c r="C1114" s="1" t="n">
        <v>12</v>
      </c>
      <c r="E1114" s="11" t="s">
        <v>87</v>
      </c>
      <c r="F1114" s="11" t="str">
        <f aca="false">IFERROR(__xludf.dummyfunction("GOOGLETRANSLATE(B1114,""en"",""ar"")"),"منظم")</f>
        <v>منظم</v>
      </c>
      <c r="G1114" s="3" t="n">
        <v>0</v>
      </c>
      <c r="H1114" s="3" t="n">
        <v>0</v>
      </c>
    </row>
    <row r="1115" customFormat="false" ht="14.25" hidden="false" customHeight="true" outlineLevel="0" collapsed="false">
      <c r="A1115" s="1"/>
      <c r="B1115" s="1" t="s">
        <v>1230</v>
      </c>
      <c r="C1115" s="1" t="n">
        <v>12</v>
      </c>
      <c r="E1115" s="11" t="s">
        <v>1231</v>
      </c>
      <c r="F1115" s="11" t="str">
        <f aca="false">IFERROR(__xludf.dummyfunction("GOOGLETRANSLATE(B1115,""en"",""ar"")"),"علية")</f>
        <v>علية</v>
      </c>
      <c r="G1115" s="3" t="n">
        <v>0</v>
      </c>
      <c r="H1115" s="3" t="n">
        <v>0</v>
      </c>
    </row>
    <row r="1116" customFormat="false" ht="14.25" hidden="false" customHeight="true" outlineLevel="0" collapsed="false">
      <c r="A1116" s="1"/>
      <c r="B1116" s="1" t="s">
        <v>1232</v>
      </c>
      <c r="C1116" s="1" t="n">
        <v>12</v>
      </c>
      <c r="E1116" s="11" t="s">
        <v>119</v>
      </c>
      <c r="F1116" s="11" t="str">
        <f aca="false">IFERROR(__xludf.dummyfunction("GOOGLETRANSLATE(B1116,""en"",""ar"")"),"منتزه")</f>
        <v>منتزه</v>
      </c>
      <c r="G1116" s="3" t="n">
        <v>0</v>
      </c>
      <c r="H1116" s="3" t="n">
        <v>0</v>
      </c>
    </row>
    <row r="1117" customFormat="false" ht="14.25" hidden="false" customHeight="true" outlineLevel="0" collapsed="false">
      <c r="A1117" s="1"/>
      <c r="B1117" s="1" t="s">
        <v>1233</v>
      </c>
      <c r="C1117" s="1" t="n">
        <v>12</v>
      </c>
      <c r="E1117" s="11" t="s">
        <v>79</v>
      </c>
      <c r="F1117" s="11" t="str">
        <f aca="false">IFERROR(__xludf.dummyfunction("GOOGLETRANSLATE(B1117,""en"",""ar"")"),"شغف")</f>
        <v>شغف</v>
      </c>
      <c r="G1117" s="3" t="n">
        <v>0</v>
      </c>
      <c r="H1117" s="3" t="n">
        <v>0</v>
      </c>
    </row>
    <row r="1118" customFormat="false" ht="14.25" hidden="false" customHeight="true" outlineLevel="0" collapsed="false">
      <c r="A1118" s="1"/>
      <c r="B1118" s="1" t="s">
        <v>1234</v>
      </c>
      <c r="C1118" s="1" t="n">
        <v>12</v>
      </c>
      <c r="E1118" s="11" t="s">
        <v>79</v>
      </c>
      <c r="F1118" s="11" t="str">
        <f aca="false">IFERROR(__xludf.dummyfunction("GOOGLETRANSLATE(B1118,""en"",""ar"")"),"النسبة المئوية")</f>
        <v>النسبة المئوية</v>
      </c>
      <c r="G1118" s="3" t="n">
        <v>0</v>
      </c>
      <c r="H1118" s="3" t="n">
        <v>0</v>
      </c>
    </row>
    <row r="1119" customFormat="false" ht="14.25" hidden="false" customHeight="true" outlineLevel="0" collapsed="false">
      <c r="A1119" s="1"/>
      <c r="B1119" s="1" t="s">
        <v>1235</v>
      </c>
      <c r="C1119" s="1" t="n">
        <v>12</v>
      </c>
      <c r="E1119" s="11" t="s">
        <v>908</v>
      </c>
      <c r="F1119" s="11" t="str">
        <f aca="false">IFERROR(__xludf.dummyfunction("GOOGLETRANSLATE(B1119,""en"",""ar"")"),"وفرة")</f>
        <v>وفرة</v>
      </c>
      <c r="G1119" s="3" t="n">
        <v>0</v>
      </c>
      <c r="H1119" s="3" t="n">
        <v>0</v>
      </c>
    </row>
    <row r="1120" customFormat="false" ht="14.25" hidden="false" customHeight="true" outlineLevel="0" collapsed="false">
      <c r="A1120" s="1"/>
      <c r="B1120" s="1" t="s">
        <v>1236</v>
      </c>
      <c r="C1120" s="1" t="n">
        <v>12</v>
      </c>
      <c r="E1120" s="11" t="s">
        <v>1205</v>
      </c>
      <c r="F1120" s="11" t="str">
        <f aca="false">IFERROR(__xludf.dummyfunction("GOOGLETRANSLATE(B1120,""en"",""ar"")"),"يدفع")</f>
        <v>يدفع</v>
      </c>
      <c r="G1120" s="3" t="n">
        <v>0</v>
      </c>
      <c r="H1120" s="3" t="n">
        <v>0</v>
      </c>
    </row>
    <row r="1121" customFormat="false" ht="14.25" hidden="false" customHeight="true" outlineLevel="0" collapsed="false">
      <c r="A1121" s="1"/>
      <c r="B1121" s="1" t="s">
        <v>1237</v>
      </c>
      <c r="C1121" s="1" t="n">
        <v>12</v>
      </c>
      <c r="E1121" s="11" t="s">
        <v>128</v>
      </c>
      <c r="F1121" s="11" t="str">
        <f aca="false">IFERROR(__xludf.dummyfunction("GOOGLETRANSLATE(B1121,""en"",""ar"")"),"ربع")</f>
        <v>ربع</v>
      </c>
      <c r="G1121" s="3" t="n">
        <v>0</v>
      </c>
      <c r="H1121" s="3" t="n">
        <v>0</v>
      </c>
    </row>
    <row r="1122" customFormat="false" ht="14.25" hidden="false" customHeight="true" outlineLevel="0" collapsed="false">
      <c r="A1122" s="1"/>
      <c r="B1122" s="1" t="s">
        <v>1238</v>
      </c>
      <c r="C1122" s="1" t="n">
        <v>12</v>
      </c>
      <c r="E1122" s="11" t="s">
        <v>79</v>
      </c>
      <c r="F1122" s="11" t="str">
        <f aca="false">IFERROR(__xludf.dummyfunction("GOOGLETRANSLATE(B1122,""en"",""ar"")"),"مورد")</f>
        <v>مورد</v>
      </c>
      <c r="G1122" s="3" t="n">
        <v>0</v>
      </c>
      <c r="H1122" s="3" t="n">
        <v>0</v>
      </c>
    </row>
    <row r="1123" customFormat="false" ht="14.25" hidden="false" customHeight="true" outlineLevel="0" collapsed="false">
      <c r="A1123" s="1"/>
      <c r="B1123" s="1" t="s">
        <v>1239</v>
      </c>
      <c r="C1123" s="1" t="n">
        <v>12</v>
      </c>
      <c r="E1123" s="11" t="s">
        <v>644</v>
      </c>
      <c r="F1123" s="11" t="str">
        <f aca="false">IFERROR(__xludf.dummyfunction("GOOGLETRANSLATE(B1123,""en"",""ar"")"),"تحديد")</f>
        <v>تحديد</v>
      </c>
      <c r="G1123" s="3" t="n">
        <v>0</v>
      </c>
      <c r="H1123" s="3" t="n">
        <v>0</v>
      </c>
    </row>
    <row r="1124" customFormat="false" ht="14.25" hidden="false" customHeight="true" outlineLevel="0" collapsed="false">
      <c r="A1124" s="1"/>
      <c r="B1124" s="1" t="s">
        <v>1240</v>
      </c>
      <c r="C1124" s="1" t="n">
        <v>12</v>
      </c>
      <c r="E1124" s="11" t="s">
        <v>79</v>
      </c>
      <c r="F1124" s="11" t="str">
        <f aca="false">IFERROR(__xludf.dummyfunction("GOOGLETRANSLATE(B1124,""en"",""ar"")"),"إعدادات")</f>
        <v>إعدادات</v>
      </c>
      <c r="G1124" s="3" t="n">
        <v>0</v>
      </c>
      <c r="H1124" s="3" t="n">
        <v>0</v>
      </c>
    </row>
    <row r="1125" customFormat="false" ht="14.25" hidden="false" customHeight="true" outlineLevel="0" collapsed="false">
      <c r="A1125" s="1"/>
      <c r="B1125" s="1" t="s">
        <v>1241</v>
      </c>
      <c r="C1125" s="1" t="n">
        <v>12</v>
      </c>
      <c r="E1125" s="11" t="s">
        <v>119</v>
      </c>
      <c r="F1125" s="11" t="str">
        <f aca="false">IFERROR(__xludf.dummyfunction("GOOGLETRANSLATE(B1125,""en"",""ar"")"),"بشرة")</f>
        <v>بشرة</v>
      </c>
      <c r="G1125" s="3" t="n">
        <v>0</v>
      </c>
      <c r="H1125" s="3" t="n">
        <v>0</v>
      </c>
    </row>
    <row r="1126" customFormat="false" ht="14.25" hidden="false" customHeight="true" outlineLevel="0" collapsed="false">
      <c r="A1126" s="1"/>
      <c r="B1126" s="1" t="s">
        <v>1242</v>
      </c>
      <c r="C1126" s="1" t="n">
        <v>12</v>
      </c>
      <c r="E1126" s="11" t="s">
        <v>119</v>
      </c>
      <c r="F1126" s="11" t="str">
        <f aca="false">IFERROR(__xludf.dummyfunction("GOOGLETRANSLATE(B1126,""en"",""ar"")"),"فرز")</f>
        <v>فرز</v>
      </c>
      <c r="G1126" s="3" t="n">
        <v>0</v>
      </c>
      <c r="H1126" s="3" t="n">
        <v>0</v>
      </c>
    </row>
    <row r="1127" customFormat="false" ht="14.25" hidden="false" customHeight="true" outlineLevel="0" collapsed="false">
      <c r="A1127" s="1"/>
      <c r="B1127" s="1" t="s">
        <v>1243</v>
      </c>
      <c r="C1127" s="1" t="n">
        <v>12</v>
      </c>
      <c r="E1127" s="11" t="s">
        <v>119</v>
      </c>
      <c r="F1127" s="11" t="str">
        <f aca="false">IFERROR(__xludf.dummyfunction("GOOGLETRANSLATE(B1127,""en"",""ar"")"),"وزن")</f>
        <v>وزن</v>
      </c>
      <c r="G1127" s="3" t="n">
        <v>0</v>
      </c>
      <c r="H1127" s="3" t="n">
        <v>0</v>
      </c>
    </row>
    <row r="1128" customFormat="false" ht="14.25" hidden="false" customHeight="true" outlineLevel="0" collapsed="false">
      <c r="A1128" s="1"/>
      <c r="B1128" s="1" t="s">
        <v>1244</v>
      </c>
      <c r="C1128" s="1" t="n">
        <v>11</v>
      </c>
      <c r="E1128" s="11" t="s">
        <v>12</v>
      </c>
      <c r="F1128" s="11" t="str">
        <f aca="false">IFERROR(__xludf.dummyfunction("GOOGLETRANSLATE(B1128,""en"",""ar"")"),"قبول")</f>
        <v>قبول</v>
      </c>
      <c r="G1128" s="3" t="n">
        <v>0</v>
      </c>
      <c r="H1128" s="3" t="n">
        <v>0</v>
      </c>
    </row>
    <row r="1129" customFormat="false" ht="14.25" hidden="false" customHeight="true" outlineLevel="0" collapsed="false">
      <c r="A1129" s="1"/>
      <c r="B1129" s="1" t="s">
        <v>1245</v>
      </c>
      <c r="C1129" s="1" t="n">
        <v>11</v>
      </c>
      <c r="E1129" s="11" t="s">
        <v>79</v>
      </c>
      <c r="F1129" s="11" t="str">
        <f aca="false">IFERROR(__xludf.dummyfunction("GOOGLETRANSLATE(B1129,""en"",""ar"")"),"ميلادي")</f>
        <v>ميلادي</v>
      </c>
      <c r="G1129" s="3" t="n">
        <v>0</v>
      </c>
      <c r="H1129" s="3" t="n">
        <v>0</v>
      </c>
    </row>
    <row r="1130" customFormat="false" ht="14.25" hidden="false" customHeight="true" outlineLevel="0" collapsed="false">
      <c r="A1130" s="1"/>
      <c r="B1130" s="1" t="s">
        <v>1246</v>
      </c>
      <c r="C1130" s="1" t="n">
        <v>11</v>
      </c>
      <c r="E1130" s="11" t="s">
        <v>79</v>
      </c>
      <c r="F1130" s="11" t="str">
        <f aca="false">IFERROR(__xludf.dummyfunction("GOOGLETRANSLATE(B1130,""en"",""ar"")"),"وكالة")</f>
        <v>وكالة</v>
      </c>
      <c r="G1130" s="3" t="n">
        <v>0</v>
      </c>
      <c r="H1130" s="3" t="n">
        <v>0</v>
      </c>
    </row>
    <row r="1131" customFormat="false" ht="14.25" hidden="false" customHeight="true" outlineLevel="0" collapsed="false">
      <c r="A1131" s="1"/>
      <c r="B1131" s="1" t="s">
        <v>1247</v>
      </c>
      <c r="C1131" s="1" t="n">
        <v>11</v>
      </c>
      <c r="E1131" s="11" t="s">
        <v>128</v>
      </c>
      <c r="F1131" s="11" t="str">
        <f aca="false">IFERROR(__xludf.dummyfunction("GOOGLETRANSLATE(B1131,""en"",""ar"")"),"طفل")</f>
        <v>طفل</v>
      </c>
      <c r="G1131" s="3" t="n">
        <v>0</v>
      </c>
      <c r="H1131" s="3" t="n">
        <v>0</v>
      </c>
    </row>
    <row r="1132" customFormat="false" ht="14.25" hidden="false" customHeight="true" outlineLevel="0" collapsed="false">
      <c r="A1132" s="1"/>
      <c r="B1132" s="1" t="s">
        <v>1248</v>
      </c>
      <c r="C1132" s="1" t="n">
        <v>11</v>
      </c>
      <c r="E1132" s="11" t="s">
        <v>148</v>
      </c>
      <c r="F1132" s="11" t="str">
        <f aca="false">IFERROR(__xludf.dummyfunction("GOOGLETRANSLATE(B1132,""en"",""ar"")"),"معرفتي")</f>
        <v>معرفتي</v>
      </c>
      <c r="G1132" s="3" t="n">
        <v>0</v>
      </c>
      <c r="H1132" s="3" t="n">
        <v>0</v>
      </c>
    </row>
    <row r="1133" customFormat="false" ht="14.25" hidden="false" customHeight="true" outlineLevel="0" collapsed="false">
      <c r="A1133" s="1"/>
      <c r="B1133" s="1" t="s">
        <v>1249</v>
      </c>
      <c r="C1133" s="1" t="n">
        <v>11</v>
      </c>
      <c r="E1133" s="11" t="s">
        <v>42</v>
      </c>
      <c r="F1133" s="11" t="str">
        <f aca="false">IFERROR(__xludf.dummyfunction("GOOGLETRANSLATE(B1133,""en"",""ar"")"),"بحرص")</f>
        <v>بحرص</v>
      </c>
      <c r="G1133" s="3" t="n">
        <v>0</v>
      </c>
      <c r="H1133" s="3" t="n">
        <v>0</v>
      </c>
    </row>
    <row r="1134" customFormat="false" ht="14.25" hidden="false" customHeight="true" outlineLevel="0" collapsed="false">
      <c r="A1134" s="1"/>
      <c r="B1134" s="1" t="s">
        <v>1250</v>
      </c>
      <c r="C1134" s="1" t="n">
        <v>11</v>
      </c>
      <c r="E1134" s="11" t="s">
        <v>119</v>
      </c>
      <c r="F1134" s="11" t="str">
        <f aca="false">IFERROR(__xludf.dummyfunction("GOOGLETRANSLATE(B1134,""en"",""ar"")"),"احمل")</f>
        <v>احمل</v>
      </c>
      <c r="G1134" s="3" t="n">
        <v>0</v>
      </c>
      <c r="H1134" s="3" t="n">
        <v>0</v>
      </c>
    </row>
    <row r="1135" customFormat="false" ht="14.25" hidden="false" customHeight="true" outlineLevel="0" collapsed="false">
      <c r="A1135" s="1"/>
      <c r="B1135" s="1" t="s">
        <v>1251</v>
      </c>
      <c r="C1135" s="1" t="n">
        <v>11</v>
      </c>
      <c r="E1135" s="11" t="s">
        <v>42</v>
      </c>
      <c r="F1135" s="11" t="str">
        <f aca="false">IFERROR(__xludf.dummyfunction("GOOGLETRANSLATE(B1135,""en"",""ar"")"),"بوضوح")</f>
        <v>بوضوح</v>
      </c>
      <c r="G1135" s="3" t="n">
        <v>0</v>
      </c>
      <c r="H1135" s="3" t="n">
        <v>0</v>
      </c>
    </row>
    <row r="1136" customFormat="false" ht="14.25" hidden="false" customHeight="true" outlineLevel="0" collapsed="false">
      <c r="A1136" s="1"/>
      <c r="B1136" s="1" t="s">
        <v>1252</v>
      </c>
      <c r="C1136" s="1" t="n">
        <v>11</v>
      </c>
      <c r="E1136" s="11" t="s">
        <v>79</v>
      </c>
      <c r="F1136" s="11" t="str">
        <f aca="false">IFERROR(__xludf.dummyfunction("GOOGLETRANSLATE(B1136,""en"",""ar"")"),"كلية")</f>
        <v>كلية</v>
      </c>
      <c r="G1136" s="3" t="n">
        <v>0</v>
      </c>
      <c r="H1136" s="3" t="n">
        <v>0</v>
      </c>
    </row>
    <row r="1137" customFormat="false" ht="14.25" hidden="false" customHeight="true" outlineLevel="0" collapsed="false">
      <c r="A1137" s="1"/>
      <c r="B1137" s="1" t="s">
        <v>1253</v>
      </c>
      <c r="C1137" s="1" t="n">
        <v>11</v>
      </c>
      <c r="E1137" s="11" t="s">
        <v>12</v>
      </c>
      <c r="F1137" s="11" t="str">
        <f aca="false">IFERROR(__xludf.dummyfunction("GOOGLETRANSLATE(B1137,""en"",""ar"")"),"يتواصل")</f>
        <v>يتواصل</v>
      </c>
      <c r="G1137" s="3" t="n">
        <v>0</v>
      </c>
      <c r="H1137" s="3" t="n">
        <v>0</v>
      </c>
    </row>
    <row r="1138" customFormat="false" ht="14.25" hidden="false" customHeight="true" outlineLevel="0" collapsed="false">
      <c r="A1138" s="1"/>
      <c r="B1138" s="1" t="s">
        <v>1254</v>
      </c>
      <c r="C1138" s="1" t="n">
        <v>11</v>
      </c>
      <c r="E1138" s="11" t="s">
        <v>12</v>
      </c>
      <c r="F1138" s="11" t="str">
        <f aca="false">IFERROR(__xludf.dummyfunction("GOOGLETRANSLATE(B1138,""en"",""ar"")"),"تذمر")</f>
        <v>تذمر</v>
      </c>
      <c r="G1138" s="3" t="n">
        <v>0</v>
      </c>
      <c r="H1138" s="3" t="n">
        <v>0</v>
      </c>
    </row>
    <row r="1139" customFormat="false" ht="14.25" hidden="false" customHeight="true" outlineLevel="0" collapsed="false">
      <c r="A1139" s="1"/>
      <c r="B1139" s="1" t="s">
        <v>1255</v>
      </c>
      <c r="C1139" s="1" t="n">
        <v>11</v>
      </c>
      <c r="E1139" s="11" t="s">
        <v>94</v>
      </c>
      <c r="F1139" s="11" t="str">
        <f aca="false">IFERROR(__xludf.dummyfunction("GOOGLETRANSLATE(B1139,""en"",""ar"")"),"نزاع")</f>
        <v>نزاع</v>
      </c>
      <c r="G1139" s="3" t="n">
        <v>0</v>
      </c>
      <c r="H1139" s="3" t="n">
        <v>0</v>
      </c>
    </row>
    <row r="1140" customFormat="false" ht="14.25" hidden="false" customHeight="true" outlineLevel="0" collapsed="false">
      <c r="A1140" s="1"/>
      <c r="B1140" s="1" t="s">
        <v>1256</v>
      </c>
      <c r="C1140" s="1" t="n">
        <v>11</v>
      </c>
      <c r="E1140" s="11" t="s">
        <v>79</v>
      </c>
      <c r="F1140" s="11" t="str">
        <f aca="false">IFERROR(__xludf.dummyfunction("GOOGLETRANSLATE(B1140,""en"",""ar"")"),"الإتصال")</f>
        <v>الإتصال</v>
      </c>
      <c r="G1140" s="3" t="n">
        <v>0</v>
      </c>
      <c r="H1140" s="3" t="n">
        <v>0</v>
      </c>
    </row>
    <row r="1141" customFormat="false" ht="14.25" hidden="false" customHeight="true" outlineLevel="0" collapsed="false">
      <c r="A1141" s="1"/>
      <c r="B1141" s="1" t="s">
        <v>1257</v>
      </c>
      <c r="C1141" s="1" t="n">
        <v>11</v>
      </c>
      <c r="E1141" s="11" t="s">
        <v>79</v>
      </c>
      <c r="F1141" s="11" t="str">
        <f aca="false">IFERROR(__xludf.dummyfunction("GOOGLETRANSLATE(B1141,""en"",""ar"")"),"نقد")</f>
        <v>نقد</v>
      </c>
      <c r="G1141" s="3" t="n">
        <v>0</v>
      </c>
      <c r="H1141" s="3" t="n">
        <v>0</v>
      </c>
    </row>
    <row r="1142" customFormat="false" ht="14.25" hidden="false" customHeight="true" outlineLevel="0" collapsed="false">
      <c r="A1142" s="1"/>
      <c r="B1142" s="1" t="s">
        <v>1258</v>
      </c>
      <c r="C1142" s="1" t="n">
        <v>11</v>
      </c>
      <c r="E1142" s="11" t="s">
        <v>79</v>
      </c>
      <c r="F1142" s="11" t="str">
        <f aca="false">IFERROR(__xludf.dummyfunction("GOOGLETRANSLATE(B1142,""en"",""ar"")"),"دين")</f>
        <v>دين</v>
      </c>
      <c r="G1142" s="3" t="n">
        <v>0</v>
      </c>
      <c r="H1142" s="3" t="n">
        <v>0</v>
      </c>
    </row>
    <row r="1143" customFormat="false" ht="14.25" hidden="false" customHeight="true" outlineLevel="0" collapsed="false">
      <c r="A1143" s="1"/>
      <c r="B1143" s="1" t="s">
        <v>1259</v>
      </c>
      <c r="C1143" s="1" t="n">
        <v>11</v>
      </c>
      <c r="E1143" s="11" t="s">
        <v>12</v>
      </c>
      <c r="F1143" s="11" t="str">
        <f aca="false">IFERROR(__xludf.dummyfunction("GOOGLETRANSLATE(B1143,""en"",""ar"")"),"تعتمد")</f>
        <v>تعتمد</v>
      </c>
      <c r="G1143" s="3" t="n">
        <v>0</v>
      </c>
      <c r="H1143" s="3" t="n">
        <v>0</v>
      </c>
    </row>
    <row r="1144" customFormat="false" ht="14.25" hidden="false" customHeight="true" outlineLevel="0" collapsed="false">
      <c r="A1144" s="1"/>
      <c r="B1144" s="1" t="s">
        <v>1260</v>
      </c>
      <c r="C1144" s="1" t="n">
        <v>11</v>
      </c>
      <c r="E1144" s="11" t="s">
        <v>79</v>
      </c>
      <c r="F1144" s="11" t="str">
        <f aca="false">IFERROR(__xludf.dummyfunction("GOOGLETRANSLATE(B1144,""en"",""ar"")"),"وصف")</f>
        <v>وصف</v>
      </c>
      <c r="G1144" s="3" t="n">
        <v>0</v>
      </c>
      <c r="H1144" s="3" t="n">
        <v>0</v>
      </c>
    </row>
    <row r="1145" customFormat="false" ht="14.25" hidden="false" customHeight="true" outlineLevel="0" collapsed="false">
      <c r="A1145" s="1"/>
      <c r="B1145" s="1" t="s">
        <v>1261</v>
      </c>
      <c r="C1145" s="1" t="n">
        <v>11</v>
      </c>
      <c r="E1145" s="11" t="s">
        <v>1262</v>
      </c>
      <c r="F1145" s="11" t="str">
        <f aca="false">IFERROR(__xludf.dummyfunction("GOOGLETRANSLATE(B1145,""en"",""ar"")"),"موت")</f>
        <v>موت</v>
      </c>
      <c r="G1145" s="3" t="n">
        <v>0</v>
      </c>
      <c r="H1145" s="3" t="n">
        <v>0</v>
      </c>
    </row>
    <row r="1146" customFormat="false" ht="14.25" hidden="false" customHeight="true" outlineLevel="0" collapsed="false">
      <c r="A1146" s="1"/>
      <c r="B1146" s="1" t="s">
        <v>1263</v>
      </c>
      <c r="C1146" s="1" t="n">
        <v>11</v>
      </c>
      <c r="E1146" s="11" t="s">
        <v>1210</v>
      </c>
      <c r="F1146" s="11" t="str">
        <f aca="false">IFERROR(__xludf.dummyfunction("GOOGLETRANSLATE(B1146,""en"",""ar"")"),"طبق")</f>
        <v>طبق</v>
      </c>
      <c r="G1146" s="3" t="n">
        <v>0</v>
      </c>
      <c r="H1146" s="3" t="n">
        <v>0</v>
      </c>
    </row>
    <row r="1147" customFormat="false" ht="14.25" hidden="false" customHeight="true" outlineLevel="0" collapsed="false">
      <c r="A1147" s="1"/>
      <c r="B1147" s="1" t="s">
        <v>1264</v>
      </c>
      <c r="C1147" s="1" t="n">
        <v>11</v>
      </c>
      <c r="E1147" s="11" t="s">
        <v>112</v>
      </c>
      <c r="F1147" s="11" t="str">
        <f aca="false">IFERROR(__xludf.dummyfunction("GOOGLETRANSLATE(B1147,""en"",""ar"")"),"دراماتيكي")</f>
        <v>دراماتيكي</v>
      </c>
      <c r="G1147" s="3" t="n">
        <v>0</v>
      </c>
      <c r="H1147" s="3" t="n">
        <v>0</v>
      </c>
    </row>
    <row r="1148" customFormat="false" ht="14.25" hidden="false" customHeight="true" outlineLevel="0" collapsed="false">
      <c r="A1148" s="1"/>
      <c r="B1148" s="1" t="s">
        <v>1265</v>
      </c>
      <c r="C1148" s="1" t="n">
        <v>11</v>
      </c>
      <c r="E1148" s="11" t="s">
        <v>1205</v>
      </c>
      <c r="F1148" s="11" t="str">
        <f aca="false">IFERROR(__xludf.dummyfunction("GOOGLETRANSLATE(B1148,""en"",""ar"")"),"تأكل")</f>
        <v>تأكل</v>
      </c>
      <c r="G1148" s="3" t="n">
        <v>0</v>
      </c>
      <c r="H1148" s="3" t="n">
        <v>0</v>
      </c>
    </row>
    <row r="1149" customFormat="false" ht="14.25" hidden="false" customHeight="true" outlineLevel="0" collapsed="false">
      <c r="A1149" s="1"/>
      <c r="B1149" s="1" t="s">
        <v>1266</v>
      </c>
      <c r="C1149" s="1" t="n">
        <v>11</v>
      </c>
      <c r="E1149" s="11" t="s">
        <v>112</v>
      </c>
      <c r="F1149" s="11" t="str">
        <f aca="false">IFERROR(__xludf.dummyfunction("GOOGLETRANSLATE(B1149,""en"",""ar"")"),"فعال")</f>
        <v>فعال</v>
      </c>
      <c r="G1149" s="3" t="n">
        <v>0</v>
      </c>
      <c r="H1149" s="3" t="n">
        <v>0</v>
      </c>
    </row>
    <row r="1150" customFormat="false" ht="14.25" hidden="false" customHeight="true" outlineLevel="0" collapsed="false">
      <c r="A1150" s="1"/>
      <c r="B1150" s="1" t="s">
        <v>1267</v>
      </c>
      <c r="C1150" s="1" t="n">
        <v>11</v>
      </c>
      <c r="E1150" s="11" t="s">
        <v>12</v>
      </c>
      <c r="F1150" s="11" t="str">
        <f aca="false">IFERROR(__xludf.dummyfunction("GOOGLETRANSLATE(B1150,""en"",""ar"")"),"أدخل")</f>
        <v>أدخل</v>
      </c>
      <c r="G1150" s="3" t="n">
        <v>0</v>
      </c>
      <c r="H1150" s="3" t="n">
        <v>0</v>
      </c>
    </row>
    <row r="1151" customFormat="false" ht="14.25" hidden="false" customHeight="true" outlineLevel="0" collapsed="false">
      <c r="A1151" s="1"/>
      <c r="B1151" s="1" t="s">
        <v>1268</v>
      </c>
      <c r="C1151" s="1" t="n">
        <v>11</v>
      </c>
      <c r="E1151" s="11" t="s">
        <v>42</v>
      </c>
      <c r="F1151" s="11" t="str">
        <f aca="false">IFERROR(__xludf.dummyfunction("GOOGLETRANSLATE(B1151,""en"",""ar"")"),"بشكل أساسي")</f>
        <v>بشكل أساسي</v>
      </c>
      <c r="G1151" s="3" t="n">
        <v>0</v>
      </c>
      <c r="H1151" s="3" t="n">
        <v>0</v>
      </c>
    </row>
    <row r="1152" customFormat="false" ht="14.25" hidden="false" customHeight="true" outlineLevel="0" collapsed="false">
      <c r="A1152" s="1"/>
      <c r="B1152" s="1" t="s">
        <v>1269</v>
      </c>
      <c r="C1152" s="1" t="n">
        <v>11</v>
      </c>
      <c r="E1152" s="11" t="s">
        <v>179</v>
      </c>
      <c r="F1152" s="11" t="str">
        <f aca="false">IFERROR(__xludf.dummyfunction("GOOGLETRANSLATE(B1152,""en"",""ar"")"),"دقيق")</f>
        <v>دقيق</v>
      </c>
      <c r="G1152" s="3" t="n">
        <v>0</v>
      </c>
      <c r="H1152" s="3" t="n">
        <v>0</v>
      </c>
    </row>
    <row r="1153" customFormat="false" ht="14.25" hidden="false" customHeight="true" outlineLevel="0" collapsed="false">
      <c r="A1153" s="1"/>
      <c r="B1153" s="1" t="s">
        <v>1270</v>
      </c>
      <c r="C1153" s="1" t="n">
        <v>11</v>
      </c>
      <c r="E1153" s="11" t="s">
        <v>119</v>
      </c>
      <c r="F1153" s="11" t="str">
        <f aca="false">IFERROR(__xludf.dummyfunction("GOOGLETRANSLATE(B1153,""en"",""ar"")"),"عامل")</f>
        <v>عامل</v>
      </c>
      <c r="G1153" s="3" t="n">
        <v>0</v>
      </c>
      <c r="H1153" s="3" t="n">
        <v>0</v>
      </c>
    </row>
    <row r="1154" customFormat="false" ht="14.25" hidden="false" customHeight="true" outlineLevel="0" collapsed="false">
      <c r="A1154" s="1"/>
      <c r="B1154" s="1" t="s">
        <v>1271</v>
      </c>
      <c r="C1154" s="1" t="n">
        <v>11</v>
      </c>
      <c r="E1154" s="11" t="s">
        <v>1272</v>
      </c>
      <c r="F1154" s="11" t="str">
        <f aca="false">IFERROR(__xludf.dummyfunction("GOOGLETRANSLATE(B1154,""en"",""ar"")"),"عدل")</f>
        <v>عدل</v>
      </c>
      <c r="G1154" s="3" t="n">
        <v>0</v>
      </c>
      <c r="H1154" s="3" t="n">
        <v>0</v>
      </c>
    </row>
    <row r="1155" customFormat="false" ht="14.25" hidden="false" customHeight="true" outlineLevel="0" collapsed="false">
      <c r="A1155" s="1"/>
      <c r="B1155" s="1" t="s">
        <v>1273</v>
      </c>
      <c r="C1155" s="1" t="n">
        <v>11</v>
      </c>
      <c r="E1155" s="11" t="s">
        <v>1205</v>
      </c>
      <c r="F1155" s="11" t="str">
        <f aca="false">IFERROR(__xludf.dummyfunction("GOOGLETRANSLATE(B1155,""en"",""ar"")"),"ملء")</f>
        <v>ملء</v>
      </c>
      <c r="G1155" s="3" t="n">
        <v>0</v>
      </c>
      <c r="H1155" s="3" t="n">
        <v>0</v>
      </c>
    </row>
    <row r="1156" customFormat="false" ht="14.25" hidden="false" customHeight="true" outlineLevel="0" collapsed="false">
      <c r="A1156" s="1"/>
      <c r="B1156" s="1" t="s">
        <v>1274</v>
      </c>
      <c r="C1156" s="1" t="n">
        <v>11</v>
      </c>
      <c r="E1156" s="11" t="s">
        <v>648</v>
      </c>
      <c r="F1156" s="11" t="str">
        <f aca="false">IFERROR(__xludf.dummyfunction("GOOGLETRANSLATE(B1156,""en"",""ar"")"),"بخير")</f>
        <v>بخير</v>
      </c>
      <c r="G1156" s="3" t="n">
        <v>0</v>
      </c>
      <c r="H1156" s="3" t="n">
        <v>0</v>
      </c>
    </row>
    <row r="1157" customFormat="false" ht="14.25" hidden="false" customHeight="true" outlineLevel="0" collapsed="false">
      <c r="A1157" s="1"/>
      <c r="B1157" s="1" t="s">
        <v>1275</v>
      </c>
      <c r="C1157" s="1" t="n">
        <v>11</v>
      </c>
      <c r="E1157" s="11" t="s">
        <v>77</v>
      </c>
      <c r="F1157" s="11" t="str">
        <f aca="false">IFERROR(__xludf.dummyfunction("GOOGLETRANSLATE(B1157,""en"",""ar"")"),"رسمي")</f>
        <v>رسمي</v>
      </c>
      <c r="G1157" s="3" t="n">
        <v>0</v>
      </c>
      <c r="H1157" s="3" t="n">
        <v>0</v>
      </c>
    </row>
    <row r="1158" customFormat="false" ht="14.25" hidden="false" customHeight="true" outlineLevel="0" collapsed="false">
      <c r="A1158" s="1"/>
      <c r="B1158" s="1" t="s">
        <v>1276</v>
      </c>
      <c r="C1158" s="1" t="n">
        <v>11</v>
      </c>
      <c r="E1158" s="11" t="s">
        <v>1277</v>
      </c>
      <c r="F1158" s="11" t="str">
        <f aca="false">IFERROR(__xludf.dummyfunction("GOOGLETRANSLATE(B1158,""en"",""ar"")"),"إلى الأمام")</f>
        <v>إلى الأمام</v>
      </c>
      <c r="G1158" s="3" t="n">
        <v>0</v>
      </c>
      <c r="H1158" s="3" t="n">
        <v>0</v>
      </c>
    </row>
    <row r="1159" customFormat="false" ht="14.25" hidden="false" customHeight="true" outlineLevel="0" collapsed="false">
      <c r="A1159" s="1"/>
      <c r="B1159" s="1" t="s">
        <v>1278</v>
      </c>
      <c r="C1159" s="1" t="n">
        <v>11</v>
      </c>
      <c r="E1159" s="11" t="s">
        <v>119</v>
      </c>
      <c r="F1159" s="11" t="str">
        <f aca="false">IFERROR(__xludf.dummyfunction("GOOGLETRANSLATE(B1159,""en"",""ar"")"),"فاكهة")</f>
        <v>فاكهة</v>
      </c>
      <c r="G1159" s="3" t="n">
        <v>0</v>
      </c>
      <c r="H1159" s="3" t="n">
        <v>0</v>
      </c>
    </row>
    <row r="1160" customFormat="false" ht="14.25" hidden="false" customHeight="true" outlineLevel="0" collapsed="false">
      <c r="A1160" s="1"/>
      <c r="B1160" s="1" t="s">
        <v>1279</v>
      </c>
      <c r="C1160" s="1" t="n">
        <v>11</v>
      </c>
      <c r="E1160" s="11" t="s">
        <v>83</v>
      </c>
      <c r="F1160" s="11" t="str">
        <f aca="false">IFERROR(__xludf.dummyfunction("GOOGLETRANSLATE(B1160,""en"",""ar"")"),"زجاج")</f>
        <v>زجاج</v>
      </c>
      <c r="G1160" s="3" t="n">
        <v>0</v>
      </c>
      <c r="H1160" s="3" t="n">
        <v>0</v>
      </c>
    </row>
    <row r="1161" customFormat="false" ht="14.25" hidden="false" customHeight="true" outlineLevel="0" collapsed="false">
      <c r="A1161" s="1"/>
      <c r="B1161" s="1" t="s">
        <v>1280</v>
      </c>
      <c r="C1161" s="1" t="n">
        <v>11</v>
      </c>
      <c r="E1161" s="11" t="s">
        <v>12</v>
      </c>
      <c r="F1161" s="11" t="str">
        <f aca="false">IFERROR(__xludf.dummyfunction("GOOGLETRANSLATE(B1161,""en"",""ar"")"),"يحدث")</f>
        <v>يحدث</v>
      </c>
      <c r="G1161" s="3" t="n">
        <v>0</v>
      </c>
      <c r="H1161" s="3" t="n">
        <v>0</v>
      </c>
    </row>
    <row r="1162" customFormat="false" ht="14.25" hidden="false" customHeight="true" outlineLevel="0" collapsed="false">
      <c r="A1162" s="1"/>
      <c r="B1162" s="1" t="s">
        <v>1281</v>
      </c>
      <c r="C1162" s="1" t="n">
        <v>11</v>
      </c>
      <c r="E1162" s="11" t="s">
        <v>12</v>
      </c>
      <c r="F1162" s="11" t="str">
        <f aca="false">IFERROR(__xludf.dummyfunction("GOOGLETRANSLATE(B1162,""en"",""ar"")"),"تشير")</f>
        <v>تشير</v>
      </c>
      <c r="G1162" s="3" t="n">
        <v>0</v>
      </c>
      <c r="H1162" s="3" t="n">
        <v>0</v>
      </c>
    </row>
    <row r="1163" customFormat="false" ht="14.25" hidden="false" customHeight="true" outlineLevel="0" collapsed="false">
      <c r="A1163" s="1"/>
      <c r="B1163" s="1" t="s">
        <v>1282</v>
      </c>
      <c r="C1163" s="1" t="n">
        <v>11</v>
      </c>
      <c r="E1163" s="11" t="s">
        <v>1283</v>
      </c>
      <c r="F1163" s="11" t="str">
        <f aca="false">IFERROR(__xludf.dummyfunction("GOOGLETRANSLATE(B1163,""en"",""ar"")"),"مشترك")</f>
        <v>مشترك</v>
      </c>
      <c r="G1163" s="3" t="n">
        <v>0</v>
      </c>
      <c r="H1163" s="3" t="n">
        <v>0</v>
      </c>
    </row>
    <row r="1164" customFormat="false" ht="14.25" hidden="false" customHeight="true" outlineLevel="0" collapsed="false">
      <c r="A1164" s="1"/>
      <c r="B1164" s="1" t="s">
        <v>1284</v>
      </c>
      <c r="C1164" s="1" t="n">
        <v>11</v>
      </c>
      <c r="E1164" s="11" t="s">
        <v>1285</v>
      </c>
      <c r="F1164" s="11" t="str">
        <f aca="false">IFERROR(__xludf.dummyfunction("GOOGLETRANSLATE(B1164,""en"",""ar"")"),"القفزة")</f>
        <v>القفزة</v>
      </c>
      <c r="G1164" s="3" t="n">
        <v>0</v>
      </c>
      <c r="H1164" s="3" t="n">
        <v>0</v>
      </c>
    </row>
    <row r="1165" customFormat="false" ht="14.25" hidden="false" customHeight="true" outlineLevel="0" collapsed="false">
      <c r="A1165" s="1"/>
      <c r="B1165" s="1" t="s">
        <v>1286</v>
      </c>
      <c r="C1165" s="1" t="n">
        <v>11</v>
      </c>
      <c r="E1165" s="11" t="s">
        <v>1205</v>
      </c>
      <c r="F1165" s="11" t="str">
        <f aca="false">IFERROR(__xludf.dummyfunction("GOOGLETRANSLATE(B1165,""en"",""ar"")"),"ركلة")</f>
        <v>ركلة</v>
      </c>
      <c r="G1165" s="3" t="n">
        <v>0</v>
      </c>
      <c r="H1165" s="3" t="n">
        <v>0</v>
      </c>
    </row>
    <row r="1166" customFormat="false" ht="14.25" hidden="false" customHeight="true" outlineLevel="0" collapsed="false">
      <c r="A1166" s="1"/>
      <c r="B1166" s="1" t="s">
        <v>1287</v>
      </c>
      <c r="C1166" s="1" t="n">
        <v>11</v>
      </c>
      <c r="E1166" s="11" t="s">
        <v>83</v>
      </c>
      <c r="F1166" s="11" t="str">
        <f aca="false">IFERROR(__xludf.dummyfunction("GOOGLETRANSLATE(B1166,""en"",""ar"")"),"رئيس")</f>
        <v>رئيس</v>
      </c>
      <c r="G1166" s="3" t="n">
        <v>0</v>
      </c>
      <c r="H1166" s="3" t="n">
        <v>0</v>
      </c>
    </row>
    <row r="1167" customFormat="false" ht="14.25" hidden="false" customHeight="true" outlineLevel="0" collapsed="false">
      <c r="A1167" s="1"/>
      <c r="B1167" s="1" t="s">
        <v>1288</v>
      </c>
      <c r="C1167" s="1" t="n">
        <v>11</v>
      </c>
      <c r="E1167" s="11" t="s">
        <v>79</v>
      </c>
      <c r="F1167" s="11" t="str">
        <f aca="false">IFERROR(__xludf.dummyfunction("GOOGLETRANSLATE(B1167,""en"",""ar"")"),"ذاكرة")</f>
        <v>ذاكرة</v>
      </c>
      <c r="G1167" s="3" t="n">
        <v>0</v>
      </c>
      <c r="H1167" s="3" t="n">
        <v>0</v>
      </c>
    </row>
    <row r="1168" customFormat="false" ht="14.25" hidden="false" customHeight="true" outlineLevel="0" collapsed="false">
      <c r="A1168" s="1"/>
      <c r="B1168" s="1" t="s">
        <v>1289</v>
      </c>
      <c r="C1168" s="1" t="n">
        <v>11</v>
      </c>
      <c r="E1168" s="11" t="s">
        <v>128</v>
      </c>
      <c r="F1168" s="11" t="str">
        <f aca="false">IFERROR(__xludf.dummyfunction("GOOGLETRANSLATE(B1168,""en"",""ar"")"),"عضلة")</f>
        <v>عضلة</v>
      </c>
      <c r="G1168" s="3" t="n">
        <v>0</v>
      </c>
      <c r="H1168" s="3" t="n">
        <v>0</v>
      </c>
    </row>
    <row r="1169" customFormat="false" ht="14.25" hidden="false" customHeight="true" outlineLevel="0" collapsed="false">
      <c r="A1169" s="1"/>
      <c r="B1169" s="1" t="s">
        <v>1290</v>
      </c>
      <c r="C1169" s="1" t="n">
        <v>11</v>
      </c>
      <c r="E1169" s="11" t="s">
        <v>356</v>
      </c>
      <c r="F1169" s="11" t="str">
        <f aca="false">IFERROR(__xludf.dummyfunction("GOOGLETRANSLATE(B1169,""en"",""ar"")"),"عكس")</f>
        <v>عكس</v>
      </c>
      <c r="G1169" s="3" t="n">
        <v>0</v>
      </c>
      <c r="H1169" s="3" t="n">
        <v>0</v>
      </c>
    </row>
    <row r="1170" customFormat="false" ht="14.25" hidden="false" customHeight="true" outlineLevel="0" collapsed="false">
      <c r="A1170" s="1"/>
      <c r="B1170" s="1" t="s">
        <v>1291</v>
      </c>
      <c r="C1170" s="1" t="n">
        <v>11</v>
      </c>
      <c r="E1170" s="11" t="s">
        <v>1205</v>
      </c>
      <c r="F1170" s="11" t="str">
        <f aca="false">IFERROR(__xludf.dummyfunction("GOOGLETRANSLATE(B1170,""en"",""ar"")"),"نجاح")</f>
        <v>نجاح</v>
      </c>
      <c r="G1170" s="3" t="n">
        <v>0</v>
      </c>
      <c r="H1170" s="3" t="n">
        <v>0</v>
      </c>
    </row>
    <row r="1171" customFormat="false" ht="14.25" hidden="false" customHeight="true" outlineLevel="0" collapsed="false">
      <c r="A1171" s="1"/>
      <c r="B1171" s="1" t="s">
        <v>1292</v>
      </c>
      <c r="C1171" s="1" t="n">
        <v>11</v>
      </c>
      <c r="E1171" s="11" t="s">
        <v>79</v>
      </c>
      <c r="F1171" s="11" t="str">
        <f aca="false">IFERROR(__xludf.dummyfunction("GOOGLETRANSLATE(B1171,""en"",""ar"")"),"الصبر")</f>
        <v>الصبر</v>
      </c>
      <c r="G1171" s="3" t="n">
        <v>0</v>
      </c>
      <c r="H1171" s="3" t="n">
        <v>0</v>
      </c>
    </row>
    <row r="1172" customFormat="false" ht="14.25" hidden="false" customHeight="true" outlineLevel="0" collapsed="false">
      <c r="A1172" s="1"/>
      <c r="B1172" s="1" t="s">
        <v>1293</v>
      </c>
      <c r="C1172" s="1" t="n">
        <v>11</v>
      </c>
      <c r="E1172" s="11" t="s">
        <v>94</v>
      </c>
      <c r="F1172" s="11" t="str">
        <f aca="false">IFERROR(__xludf.dummyfunction("GOOGLETRANSLATE(B1172,""en"",""ar"")"),"يقذف")</f>
        <v>يقذف</v>
      </c>
      <c r="G1172" s="3" t="n">
        <v>0</v>
      </c>
      <c r="H1172" s="3" t="n">
        <v>0</v>
      </c>
    </row>
    <row r="1173" customFormat="false" ht="14.25" hidden="false" customHeight="true" outlineLevel="0" collapsed="false">
      <c r="A1173" s="1"/>
      <c r="B1173" s="1" t="s">
        <v>1294</v>
      </c>
      <c r="C1173" s="1" t="n">
        <v>11</v>
      </c>
      <c r="E1173" s="11" t="s">
        <v>42</v>
      </c>
      <c r="F1173" s="11" t="str">
        <f aca="false">IFERROR(__xludf.dummyfunction("GOOGLETRANSLATE(B1173,""en"",""ar"")"),"ربما")</f>
        <v>ربما</v>
      </c>
      <c r="G1173" s="3" t="n">
        <v>0</v>
      </c>
      <c r="H1173" s="3" t="n">
        <v>0</v>
      </c>
    </row>
    <row r="1174" customFormat="false" ht="14.25" hidden="false" customHeight="true" outlineLevel="0" collapsed="false">
      <c r="A1174" s="1"/>
      <c r="B1174" s="1" t="s">
        <v>1295</v>
      </c>
      <c r="C1174" s="1" t="n">
        <v>11</v>
      </c>
      <c r="E1174" s="11" t="s">
        <v>112</v>
      </c>
      <c r="F1174" s="11" t="str">
        <f aca="false">IFERROR(__xludf.dummyfunction("GOOGLETRANSLATE(B1174,""en"",""ar"")"),"قوي")</f>
        <v>قوي</v>
      </c>
      <c r="G1174" s="3" t="n">
        <v>0</v>
      </c>
      <c r="H1174" s="3" t="n">
        <v>0</v>
      </c>
    </row>
    <row r="1175" customFormat="false" ht="14.25" hidden="false" customHeight="true" outlineLevel="0" collapsed="false">
      <c r="A1175" s="1"/>
      <c r="B1175" s="1" t="s">
        <v>1296</v>
      </c>
      <c r="C1175" s="1" t="n">
        <v>11</v>
      </c>
      <c r="E1175" s="11" t="s">
        <v>1297</v>
      </c>
      <c r="F1175" s="11" t="str">
        <f aca="false">IFERROR(__xludf.dummyfunction("GOOGLETRANSLATE(B1175,""en"",""ar"")"),"أحمر")</f>
        <v>أحمر</v>
      </c>
      <c r="G1175" s="3" t="n">
        <v>0</v>
      </c>
      <c r="H1175" s="3" t="n">
        <v>0</v>
      </c>
    </row>
    <row r="1176" customFormat="false" ht="14.25" hidden="false" customHeight="true" outlineLevel="0" collapsed="false">
      <c r="A1176" s="1"/>
      <c r="B1176" s="1" t="s">
        <v>1298</v>
      </c>
      <c r="C1176" s="1" t="n">
        <v>11</v>
      </c>
      <c r="E1176" s="11" t="s">
        <v>235</v>
      </c>
      <c r="F1176" s="11" t="str">
        <f aca="false">IFERROR(__xludf.dummyfunction("GOOGLETRANSLATE(B1176,""en"",""ar"")"),"التحكم عن بعد")</f>
        <v>التحكم عن بعد</v>
      </c>
      <c r="G1176" s="3" t="n">
        <v>0</v>
      </c>
      <c r="H1176" s="3" t="n">
        <v>0</v>
      </c>
    </row>
    <row r="1177" customFormat="false" ht="14.25" hidden="false" customHeight="true" outlineLevel="0" collapsed="false">
      <c r="A1177" s="1"/>
      <c r="B1177" s="1" t="s">
        <v>1299</v>
      </c>
      <c r="C1177" s="1" t="n">
        <v>11</v>
      </c>
      <c r="E1177" s="11" t="s">
        <v>79</v>
      </c>
      <c r="F1177" s="11" t="str">
        <f aca="false">IFERROR(__xludf.dummyfunction("GOOGLETRANSLATE(B1177,""en"",""ar"")"),"سكرتير")</f>
        <v>سكرتير</v>
      </c>
      <c r="G1177" s="3" t="n">
        <v>0</v>
      </c>
      <c r="H1177" s="3" t="n">
        <v>0</v>
      </c>
    </row>
    <row r="1178" customFormat="false" ht="14.25" hidden="false" customHeight="true" outlineLevel="0" collapsed="false">
      <c r="A1178" s="1"/>
      <c r="B1178" s="1" t="s">
        <v>1300</v>
      </c>
      <c r="C1178" s="1" t="n">
        <v>11</v>
      </c>
      <c r="E1178" s="11" t="s">
        <v>42</v>
      </c>
      <c r="F1178" s="11" t="str">
        <f aca="false">IFERROR(__xludf.dummyfunction("GOOGLETRANSLATE(B1178,""en"",""ar"")"),"بعض الشيء")</f>
        <v>بعض الشيء</v>
      </c>
      <c r="G1178" s="3" t="n">
        <v>0</v>
      </c>
      <c r="H1178" s="3" t="n">
        <v>0</v>
      </c>
    </row>
    <row r="1179" customFormat="false" ht="14.25" hidden="false" customHeight="true" outlineLevel="0" collapsed="false">
      <c r="A1179" s="1"/>
      <c r="B1179" s="1" t="s">
        <v>1301</v>
      </c>
      <c r="C1179" s="1" t="n">
        <v>11</v>
      </c>
      <c r="E1179" s="11" t="s">
        <v>79</v>
      </c>
      <c r="F1179" s="11" t="str">
        <f aca="false">IFERROR(__xludf.dummyfunction("GOOGLETRANSLATE(B1179,""en"",""ar"")"),"المحلول")</f>
        <v>المحلول</v>
      </c>
      <c r="G1179" s="3" t="n">
        <v>0</v>
      </c>
      <c r="H1179" s="3" t="n">
        <v>0</v>
      </c>
    </row>
    <row r="1180" customFormat="false" ht="14.25" hidden="false" customHeight="true" outlineLevel="0" collapsed="false">
      <c r="A1180" s="1"/>
      <c r="B1180" s="1" t="s">
        <v>1302</v>
      </c>
      <c r="C1180" s="1" t="n">
        <v>11</v>
      </c>
      <c r="E1180" s="11" t="s">
        <v>42</v>
      </c>
      <c r="F1180" s="11" t="str">
        <f aca="false">IFERROR(__xludf.dummyfunction("GOOGLETRANSLATE(B1180,""en"",""ar"")"),"قليلا")</f>
        <v>قليلا</v>
      </c>
      <c r="G1180" s="3" t="n">
        <v>0</v>
      </c>
      <c r="H1180" s="3" t="n">
        <v>0</v>
      </c>
    </row>
    <row r="1181" customFormat="false" ht="14.25" hidden="false" customHeight="true" outlineLevel="0" collapsed="false">
      <c r="A1181" s="1"/>
      <c r="B1181" s="1" t="s">
        <v>1303</v>
      </c>
      <c r="C1181" s="1" t="n">
        <v>11</v>
      </c>
      <c r="E1181" s="11" t="s">
        <v>1304</v>
      </c>
      <c r="F1181" s="11" t="str">
        <f aca="false">IFERROR(__xludf.dummyfunction("GOOGLETRANSLATE(B1181,""en"",""ar"")"),"الخضوع ل")</f>
        <v>الخضوع ل</v>
      </c>
      <c r="G1181" s="3" t="n">
        <v>0</v>
      </c>
      <c r="H1181" s="3" t="n">
        <v>0</v>
      </c>
    </row>
    <row r="1182" customFormat="false" ht="14.25" hidden="false" customHeight="true" outlineLevel="0" collapsed="false">
      <c r="A1182" s="1"/>
      <c r="B1182" s="1" t="s">
        <v>1305</v>
      </c>
      <c r="C1182" s="1" t="n">
        <v>11</v>
      </c>
      <c r="E1182" s="11" t="s">
        <v>12</v>
      </c>
      <c r="F1182" s="11" t="str">
        <f aca="false">IFERROR(__xludf.dummyfunction("GOOGLETRANSLATE(B1182,""en"",""ar"")"),"يقترح")</f>
        <v>يقترح</v>
      </c>
      <c r="G1182" s="3" t="n">
        <v>0</v>
      </c>
      <c r="H1182" s="3" t="n">
        <v>0</v>
      </c>
    </row>
    <row r="1183" customFormat="false" ht="14.25" hidden="false" customHeight="true" outlineLevel="0" collapsed="false">
      <c r="A1183" s="1"/>
      <c r="B1183" s="1" t="s">
        <v>1306</v>
      </c>
      <c r="C1183" s="1" t="n">
        <v>11</v>
      </c>
      <c r="E1183" s="11" t="s">
        <v>12</v>
      </c>
      <c r="F1183" s="11" t="str">
        <f aca="false">IFERROR(__xludf.dummyfunction("GOOGLETRANSLATE(B1183,""en"",""ar"")"),"ينجو")</f>
        <v>ينجو</v>
      </c>
      <c r="G1183" s="3" t="n">
        <v>0</v>
      </c>
      <c r="H1183" s="3" t="n">
        <v>0</v>
      </c>
    </row>
    <row r="1184" customFormat="false" ht="14.25" hidden="false" customHeight="true" outlineLevel="0" collapsed="false">
      <c r="A1184" s="1"/>
      <c r="B1184" s="1" t="s">
        <v>1307</v>
      </c>
      <c r="C1184" s="1" t="n">
        <v>11</v>
      </c>
      <c r="E1184" s="11" t="s">
        <v>405</v>
      </c>
      <c r="F1184" s="11" t="str">
        <f aca="false">IFERROR(__xludf.dummyfunction("GOOGLETRANSLATE(B1184,""en"",""ar"")"),"مجموع")</f>
        <v>مجموع</v>
      </c>
      <c r="G1184" s="3" t="n">
        <v>0</v>
      </c>
      <c r="H1184" s="3" t="n">
        <v>0</v>
      </c>
    </row>
    <row r="1185" customFormat="false" ht="14.25" hidden="false" customHeight="true" outlineLevel="0" collapsed="false">
      <c r="A1185" s="1"/>
      <c r="B1185" s="1" t="s">
        <v>1308</v>
      </c>
      <c r="C1185" s="1" t="n">
        <v>11</v>
      </c>
      <c r="E1185" s="11" t="s">
        <v>119</v>
      </c>
      <c r="F1185" s="11" t="str">
        <f aca="false">IFERROR(__xludf.dummyfunction("GOOGLETRANSLATE(B1185,""en"",""ar"")"),"المرور")</f>
        <v>المرور</v>
      </c>
      <c r="G1185" s="3" t="n">
        <v>0</v>
      </c>
      <c r="H1185" s="3" t="n">
        <v>0</v>
      </c>
    </row>
    <row r="1186" customFormat="false" ht="14.25" hidden="false" customHeight="true" outlineLevel="0" collapsed="false">
      <c r="A1186" s="1"/>
      <c r="B1186" s="1" t="s">
        <v>1309</v>
      </c>
      <c r="C1186" s="1" t="n">
        <v>11</v>
      </c>
      <c r="E1186" s="11" t="s">
        <v>94</v>
      </c>
      <c r="F1186" s="11" t="str">
        <f aca="false">IFERROR(__xludf.dummyfunction("GOOGLETRANSLATE(B1186,""en"",""ar"")"),"يعامل")</f>
        <v>يعامل</v>
      </c>
      <c r="G1186" s="3" t="n">
        <v>0</v>
      </c>
      <c r="H1186" s="3" t="n">
        <v>0</v>
      </c>
    </row>
    <row r="1187" customFormat="false" ht="14.25" hidden="false" customHeight="true" outlineLevel="0" collapsed="false">
      <c r="A1187" s="1"/>
      <c r="B1187" s="1" t="s">
        <v>1310</v>
      </c>
      <c r="C1187" s="1" t="n">
        <v>11</v>
      </c>
      <c r="E1187" s="11" t="s">
        <v>1210</v>
      </c>
      <c r="F1187" s="11" t="str">
        <f aca="false">IFERROR(__xludf.dummyfunction("GOOGLETRANSLATE(B1187,""en"",""ar"")"),"رحلة قصيرة")</f>
        <v>رحلة قصيرة</v>
      </c>
      <c r="G1187" s="3" t="n">
        <v>0</v>
      </c>
      <c r="H1187" s="3" t="n">
        <v>0</v>
      </c>
    </row>
    <row r="1188" customFormat="false" ht="14.25" hidden="false" customHeight="true" outlineLevel="0" collapsed="false">
      <c r="A1188" s="1"/>
      <c r="B1188" s="1" t="s">
        <v>1311</v>
      </c>
      <c r="C1188" s="1" t="n">
        <v>11</v>
      </c>
      <c r="E1188" s="11" t="s">
        <v>235</v>
      </c>
      <c r="F1188" s="11" t="str">
        <f aca="false">IFERROR(__xludf.dummyfunction("GOOGLETRANSLATE(B1188,""en"",""ar"")"),"واسع")</f>
        <v>واسع</v>
      </c>
      <c r="G1188" s="3" t="n">
        <v>0</v>
      </c>
      <c r="H1188" s="3" t="n">
        <v>0</v>
      </c>
    </row>
    <row r="1189" customFormat="false" ht="14.25" hidden="false" customHeight="true" outlineLevel="0" collapsed="false">
      <c r="A1189" s="1"/>
      <c r="B1189" s="1" t="s">
        <v>1312</v>
      </c>
      <c r="C1189" s="1" t="n">
        <v>11</v>
      </c>
      <c r="E1189" s="11" t="s">
        <v>148</v>
      </c>
      <c r="F1189" s="11" t="str">
        <f aca="false">IFERROR(__xludf.dummyfunction("GOOGLETRANSLATE(B1189,""en"",""ar"")"),"الخضروات")</f>
        <v>الخضروات</v>
      </c>
      <c r="G1189" s="3" t="n">
        <v>0</v>
      </c>
      <c r="H1189" s="3" t="n">
        <v>0</v>
      </c>
    </row>
    <row r="1190" customFormat="false" ht="14.25" hidden="false" customHeight="true" outlineLevel="0" collapsed="false">
      <c r="A1190" s="1"/>
      <c r="B1190" s="1" t="s">
        <v>1313</v>
      </c>
      <c r="C1190" s="1" t="n">
        <v>10</v>
      </c>
      <c r="E1190" s="11" t="s">
        <v>94</v>
      </c>
      <c r="F1190" s="11" t="str">
        <f aca="false">IFERROR(__xludf.dummyfunction("GOOGLETRANSLATE(B1190,""en"",""ar"")"),"إساءة")</f>
        <v>إساءة</v>
      </c>
      <c r="G1190" s="3" t="n">
        <v>0</v>
      </c>
      <c r="H1190" s="3" t="n">
        <v>0</v>
      </c>
    </row>
    <row r="1191" customFormat="false" ht="14.25" hidden="false" customHeight="true" outlineLevel="0" collapsed="false">
      <c r="A1191" s="1"/>
      <c r="B1191" s="1" t="s">
        <v>1314</v>
      </c>
      <c r="C1191" s="1" t="n">
        <v>10</v>
      </c>
      <c r="E1191" s="11" t="s">
        <v>79</v>
      </c>
      <c r="F1191" s="11" t="str">
        <f aca="false">IFERROR(__xludf.dummyfunction("GOOGLETRANSLATE(B1191,""en"",""ar"")"),"الادارة")</f>
        <v>الادارة</v>
      </c>
      <c r="G1191" s="3" t="n">
        <v>0</v>
      </c>
      <c r="H1191" s="3" t="n">
        <v>0</v>
      </c>
    </row>
    <row r="1192" customFormat="false" ht="14.25" hidden="false" customHeight="true" outlineLevel="0" collapsed="false">
      <c r="A1192" s="1"/>
      <c r="B1192" s="1" t="s">
        <v>1315</v>
      </c>
      <c r="C1192" s="1" t="n">
        <v>10</v>
      </c>
      <c r="E1192" s="11" t="s">
        <v>119</v>
      </c>
      <c r="F1192" s="11" t="str">
        <f aca="false">IFERROR(__xludf.dummyfunction("GOOGLETRANSLATE(B1192,""en"",""ar"")"),"مناشدة")</f>
        <v>مناشدة</v>
      </c>
      <c r="G1192" s="3" t="n">
        <v>0</v>
      </c>
      <c r="H1192" s="3" t="n">
        <v>0</v>
      </c>
    </row>
    <row r="1193" customFormat="false" ht="14.25" hidden="false" customHeight="true" outlineLevel="0" collapsed="false">
      <c r="A1193" s="1"/>
      <c r="B1193" s="1" t="s">
        <v>1316</v>
      </c>
      <c r="C1193" s="1" t="n">
        <v>10</v>
      </c>
      <c r="E1193" s="11" t="s">
        <v>12</v>
      </c>
      <c r="F1193" s="11" t="str">
        <f aca="false">IFERROR(__xludf.dummyfunction("GOOGLETRANSLATE(B1193,""en"",""ar"")"),"يقدر")</f>
        <v>يقدر</v>
      </c>
      <c r="G1193" s="3" t="n">
        <v>0</v>
      </c>
      <c r="H1193" s="3" t="n">
        <v>0</v>
      </c>
    </row>
    <row r="1194" customFormat="false" ht="14.25" hidden="false" customHeight="true" outlineLevel="0" collapsed="false">
      <c r="A1194" s="1"/>
      <c r="B1194" s="1" t="s">
        <v>1317</v>
      </c>
      <c r="C1194" s="1" t="n">
        <v>10</v>
      </c>
      <c r="E1194" s="11" t="s">
        <v>79</v>
      </c>
      <c r="F1194" s="11" t="str">
        <f aca="false">IFERROR(__xludf.dummyfunction("GOOGLETRANSLATE(B1194,""en"",""ar"")"),"وجه")</f>
        <v>وجه</v>
      </c>
      <c r="G1194" s="3" t="n">
        <v>0</v>
      </c>
      <c r="H1194" s="3" t="n">
        <v>0</v>
      </c>
    </row>
    <row r="1195" customFormat="false" ht="14.25" hidden="false" customHeight="true" outlineLevel="0" collapsed="false">
      <c r="A1195" s="1"/>
      <c r="B1195" s="1" t="s">
        <v>1318</v>
      </c>
      <c r="C1195" s="1" t="n">
        <v>10</v>
      </c>
      <c r="E1195" s="11" t="s">
        <v>79</v>
      </c>
      <c r="F1195" s="11" t="str">
        <f aca="false">IFERROR(__xludf.dummyfunction("GOOGLETRANSLATE(B1195,""en"",""ar"")"),"موقف سلوك")</f>
        <v>موقف سلوك</v>
      </c>
      <c r="G1195" s="3" t="n">
        <v>0</v>
      </c>
      <c r="H1195" s="3" t="n">
        <v>0</v>
      </c>
    </row>
    <row r="1196" customFormat="false" ht="14.25" hidden="false" customHeight="true" outlineLevel="0" collapsed="false">
      <c r="A1196" s="1"/>
      <c r="B1196" s="1" t="s">
        <v>1319</v>
      </c>
      <c r="C1196" s="1" t="n">
        <v>10</v>
      </c>
      <c r="E1196" s="11" t="s">
        <v>324</v>
      </c>
      <c r="F1196" s="11" t="str">
        <f aca="false">IFERROR(__xludf.dummyfunction("GOOGLETRANSLATE(B1196,""en"",""ar"")"),"يهزم")</f>
        <v>يهزم</v>
      </c>
      <c r="G1196" s="3" t="n">
        <v>0</v>
      </c>
      <c r="H1196" s="3" t="n">
        <v>0</v>
      </c>
    </row>
    <row r="1197" customFormat="false" ht="14.25" hidden="false" customHeight="true" outlineLevel="0" collapsed="false">
      <c r="A1197" s="1"/>
      <c r="B1197" s="1" t="s">
        <v>1320</v>
      </c>
      <c r="C1197" s="1" t="n">
        <v>10</v>
      </c>
      <c r="E1197" s="11" t="s">
        <v>94</v>
      </c>
      <c r="F1197" s="11" t="str">
        <f aca="false">IFERROR(__xludf.dummyfunction("GOOGLETRANSLATE(B1197,""en"",""ar"")"),"حرق")</f>
        <v>حرق</v>
      </c>
      <c r="G1197" s="3" t="n">
        <v>0</v>
      </c>
      <c r="H1197" s="3" t="n">
        <v>0</v>
      </c>
    </row>
    <row r="1198" customFormat="false" ht="14.25" hidden="false" customHeight="true" outlineLevel="0" collapsed="false">
      <c r="A1198" s="1"/>
      <c r="B1198" s="1" t="s">
        <v>1321</v>
      </c>
      <c r="C1198" s="1" t="n">
        <v>10</v>
      </c>
      <c r="E1198" s="11" t="s">
        <v>119</v>
      </c>
      <c r="F1198" s="11" t="str">
        <f aca="false">IFERROR(__xludf.dummyfunction("GOOGLETRANSLATE(B1198,""en"",""ar"")"),"جدول")</f>
        <v>جدول</v>
      </c>
      <c r="G1198" s="3" t="n">
        <v>0</v>
      </c>
      <c r="H1198" s="3" t="n">
        <v>0</v>
      </c>
    </row>
    <row r="1199" customFormat="false" ht="14.25" hidden="false" customHeight="true" outlineLevel="0" collapsed="false">
      <c r="A1199" s="1"/>
      <c r="B1199" s="1" t="s">
        <v>1322</v>
      </c>
      <c r="C1199" s="1" t="n">
        <v>10</v>
      </c>
      <c r="E1199" s="11" t="s">
        <v>12</v>
      </c>
      <c r="F1199" s="11" t="str">
        <f aca="false">IFERROR(__xludf.dummyfunction("GOOGLETRANSLATE(B1199,""en"",""ar"")"),"قارن")</f>
        <v>قارن</v>
      </c>
      <c r="G1199" s="3" t="n">
        <v>0</v>
      </c>
      <c r="H1199" s="3" t="n">
        <v>0</v>
      </c>
    </row>
    <row r="1200" customFormat="false" ht="14.25" hidden="false" customHeight="true" outlineLevel="0" collapsed="false">
      <c r="A1200" s="1"/>
      <c r="B1200" s="1" t="s">
        <v>1323</v>
      </c>
      <c r="C1200" s="1" t="n">
        <v>10</v>
      </c>
      <c r="E1200" s="11" t="s">
        <v>94</v>
      </c>
      <c r="F1200" s="11" t="str">
        <f aca="false">IFERROR(__xludf.dummyfunction("GOOGLETRANSLATE(B1200,""en"",""ar"")"),"الوديعة")</f>
        <v>الوديعة</v>
      </c>
      <c r="G1200" s="3" t="n">
        <v>0</v>
      </c>
      <c r="H1200" s="3" t="n">
        <v>0</v>
      </c>
    </row>
    <row r="1201" customFormat="false" ht="14.25" hidden="false" customHeight="true" outlineLevel="0" collapsed="false">
      <c r="A1201" s="1"/>
      <c r="B1201" s="1" t="s">
        <v>1324</v>
      </c>
      <c r="C1201" s="1" t="n">
        <v>10</v>
      </c>
      <c r="E1201" s="11" t="s">
        <v>79</v>
      </c>
      <c r="F1201" s="11" t="str">
        <f aca="false">IFERROR(__xludf.dummyfunction("GOOGLETRANSLATE(B1201,""en"",""ar"")"),"مدير")</f>
        <v>مدير</v>
      </c>
      <c r="G1201" s="3" t="n">
        <v>0</v>
      </c>
      <c r="H1201" s="3" t="n">
        <v>0</v>
      </c>
    </row>
    <row r="1202" customFormat="false" ht="14.25" hidden="false" customHeight="true" outlineLevel="0" collapsed="false">
      <c r="A1202" s="1"/>
      <c r="B1202" s="1" t="s">
        <v>1325</v>
      </c>
      <c r="C1202" s="1" t="n">
        <v>10</v>
      </c>
      <c r="E1202" s="11" t="s">
        <v>42</v>
      </c>
      <c r="F1202" s="11" t="str">
        <f aca="false">IFERROR(__xludf.dummyfunction("GOOGLETRANSLATE(B1202,""en"",""ar"")"),"بالتساوي")</f>
        <v>بالتساوي</v>
      </c>
      <c r="G1202" s="3" t="n">
        <v>0</v>
      </c>
      <c r="H1202" s="3" t="n">
        <v>0</v>
      </c>
    </row>
    <row r="1203" customFormat="false" ht="14.25" hidden="false" customHeight="true" outlineLevel="0" collapsed="false">
      <c r="A1203" s="1"/>
      <c r="B1203" s="1" t="s">
        <v>1326</v>
      </c>
      <c r="C1203" s="1" t="n">
        <v>10</v>
      </c>
      <c r="E1203" s="11" t="s">
        <v>112</v>
      </c>
      <c r="F1203" s="11" t="str">
        <f aca="false">IFERROR(__xludf.dummyfunction("GOOGLETRANSLATE(B1203,""en"",""ar"")"),"أجنبي")</f>
        <v>أجنبي</v>
      </c>
      <c r="G1203" s="3" t="n">
        <v>0</v>
      </c>
      <c r="H1203" s="3" t="n">
        <v>0</v>
      </c>
    </row>
    <row r="1204" customFormat="false" ht="14.25" hidden="false" customHeight="true" outlineLevel="0" collapsed="false">
      <c r="A1204" s="1"/>
      <c r="B1204" s="1" t="s">
        <v>1327</v>
      </c>
      <c r="C1204" s="1" t="n">
        <v>10</v>
      </c>
      <c r="E1204" s="11" t="s">
        <v>1231</v>
      </c>
      <c r="F1204" s="11" t="str">
        <f aca="false">IFERROR(__xludf.dummyfunction("GOOGLETRANSLATE(B1204,""en"",""ar"")"),"هيأ")</f>
        <v>هيأ</v>
      </c>
      <c r="G1204" s="3" t="n">
        <v>0</v>
      </c>
      <c r="H1204" s="3" t="n">
        <v>0</v>
      </c>
    </row>
    <row r="1205" customFormat="false" ht="14.25" hidden="false" customHeight="true" outlineLevel="0" collapsed="false">
      <c r="A1205" s="1"/>
      <c r="B1205" s="1" t="s">
        <v>1328</v>
      </c>
      <c r="C1205" s="1" t="n">
        <v>10</v>
      </c>
      <c r="E1205" s="11" t="s">
        <v>42</v>
      </c>
      <c r="F1205" s="11" t="str">
        <f aca="false">IFERROR(__xludf.dummyfunction("GOOGLETRANSLATE(B1205,""en"",""ar"")"),"جدا")</f>
        <v>جدا</v>
      </c>
      <c r="G1205" s="3" t="n">
        <v>0</v>
      </c>
      <c r="H1205" s="3" t="n">
        <v>0</v>
      </c>
    </row>
    <row r="1206" customFormat="false" ht="14.25" hidden="false" customHeight="true" outlineLevel="0" collapsed="false">
      <c r="A1206" s="1"/>
      <c r="B1206" s="1" t="s">
        <v>1329</v>
      </c>
      <c r="C1206" s="1" t="n">
        <v>10</v>
      </c>
      <c r="E1206" s="11" t="s">
        <v>112</v>
      </c>
      <c r="F1206" s="11" t="str">
        <f aca="false">IFERROR(__xludf.dummyfunction("GOOGLETRANSLATE(B1206,""en"",""ar"")"),"جوعان")</f>
        <v>جوعان</v>
      </c>
      <c r="G1206" s="3" t="n">
        <v>0</v>
      </c>
      <c r="H1206" s="3" t="n">
        <v>0</v>
      </c>
    </row>
    <row r="1207" customFormat="false" ht="14.25" hidden="false" customHeight="true" outlineLevel="0" collapsed="false">
      <c r="A1207" s="1"/>
      <c r="B1207" s="1" t="s">
        <v>1330</v>
      </c>
      <c r="C1207" s="1" t="n">
        <v>10</v>
      </c>
      <c r="E1207" s="11" t="s">
        <v>148</v>
      </c>
      <c r="F1207" s="11" t="str">
        <f aca="false">IFERROR(__xludf.dummyfunction("GOOGLETRANSLATE(B1207,""en"",""ar"")"),"مثالي")</f>
        <v>مثالي</v>
      </c>
      <c r="G1207" s="3" t="n">
        <v>0</v>
      </c>
      <c r="H1207" s="3" t="n">
        <v>0</v>
      </c>
    </row>
    <row r="1208" customFormat="false" ht="14.25" hidden="false" customHeight="true" outlineLevel="0" collapsed="false">
      <c r="A1208" s="1"/>
      <c r="B1208" s="1" t="s">
        <v>1331</v>
      </c>
      <c r="C1208" s="1" t="n">
        <v>10</v>
      </c>
      <c r="E1208" s="11" t="s">
        <v>12</v>
      </c>
      <c r="F1208" s="11" t="str">
        <f aca="false">IFERROR(__xludf.dummyfunction("GOOGLETRANSLATE(B1208,""en"",""ar"")"),"يتصور")</f>
        <v>يتصور</v>
      </c>
      <c r="G1208" s="3" t="n">
        <v>0</v>
      </c>
      <c r="H1208" s="3" t="n">
        <v>0</v>
      </c>
    </row>
    <row r="1209" customFormat="false" ht="14.25" hidden="false" customHeight="true" outlineLevel="0" collapsed="false">
      <c r="A1209" s="1"/>
      <c r="B1209" s="1" t="s">
        <v>1332</v>
      </c>
      <c r="C1209" s="1" t="n">
        <v>10</v>
      </c>
      <c r="E1209" s="11" t="s">
        <v>148</v>
      </c>
      <c r="F1209" s="11" t="str">
        <f aca="false">IFERROR(__xludf.dummyfunction("GOOGLETRANSLATE(B1209,""en"",""ar"")"),"مطبخ")</f>
        <v>مطبخ</v>
      </c>
      <c r="G1209" s="3" t="n">
        <v>0</v>
      </c>
      <c r="H1209" s="3" t="n">
        <v>0</v>
      </c>
    </row>
    <row r="1210" customFormat="false" ht="14.25" hidden="false" customHeight="true" outlineLevel="0" collapsed="false">
      <c r="A1210" s="1"/>
      <c r="B1210" s="1" t="s">
        <v>1333</v>
      </c>
      <c r="C1210" s="1" t="n">
        <v>10</v>
      </c>
      <c r="E1210" s="11" t="s">
        <v>1210</v>
      </c>
      <c r="F1210" s="11" t="str">
        <f aca="false">IFERROR(__xludf.dummyfunction("GOOGLETRANSLATE(B1210,""en"",""ar"")"),"الأرض")</f>
        <v>الأرض</v>
      </c>
      <c r="G1210" s="3" t="n">
        <v>0</v>
      </c>
      <c r="H1210" s="3" t="n">
        <v>0</v>
      </c>
    </row>
    <row r="1211" customFormat="false" ht="14.25" hidden="false" customHeight="true" outlineLevel="0" collapsed="false">
      <c r="A1211" s="1"/>
      <c r="B1211" s="1" t="s">
        <v>1334</v>
      </c>
      <c r="C1211" s="1" t="n">
        <v>10</v>
      </c>
      <c r="E1211" s="11" t="s">
        <v>119</v>
      </c>
      <c r="F1211" s="11" t="str">
        <f aca="false">IFERROR(__xludf.dummyfunction("GOOGLETRANSLATE(B1211,""en"",""ar"")"),"سجل")</f>
        <v>سجل</v>
      </c>
      <c r="G1211" s="3" t="n">
        <v>0</v>
      </c>
      <c r="H1211" s="3" t="n">
        <v>0</v>
      </c>
    </row>
    <row r="1212" customFormat="false" ht="14.25" hidden="false" customHeight="true" outlineLevel="0" collapsed="false">
      <c r="A1212" s="1"/>
      <c r="B1212" s="1" t="s">
        <v>1335</v>
      </c>
      <c r="C1212" s="1" t="n">
        <v>10</v>
      </c>
      <c r="E1212" s="11" t="s">
        <v>1336</v>
      </c>
      <c r="F1212" s="11" t="str">
        <f aca="false">IFERROR(__xludf.dummyfunction("GOOGLETRANSLATE(B1212,""en"",""ar"")"),"ضائع")</f>
        <v>ضائع</v>
      </c>
      <c r="G1212" s="3" t="n">
        <v>0</v>
      </c>
      <c r="H1212" s="3" t="n">
        <v>0</v>
      </c>
    </row>
    <row r="1213" customFormat="false" ht="14.25" hidden="false" customHeight="true" outlineLevel="0" collapsed="false">
      <c r="A1213" s="1"/>
      <c r="B1213" s="1" t="s">
        <v>1337</v>
      </c>
      <c r="C1213" s="1" t="n">
        <v>10</v>
      </c>
      <c r="E1213" s="11" t="s">
        <v>12</v>
      </c>
      <c r="F1213" s="11" t="str">
        <f aca="false">IFERROR(__xludf.dummyfunction("GOOGLETRANSLATE(B1213,""en"",""ar"")"),"تدبير")</f>
        <v>تدبير</v>
      </c>
      <c r="G1213" s="3" t="n">
        <v>0</v>
      </c>
      <c r="H1213" s="3" t="n">
        <v>0</v>
      </c>
    </row>
    <row r="1214" customFormat="false" ht="14.25" hidden="false" customHeight="true" outlineLevel="0" collapsed="false">
      <c r="A1214" s="1"/>
      <c r="B1214" s="1" t="s">
        <v>1338</v>
      </c>
      <c r="C1214" s="1" t="n">
        <v>10</v>
      </c>
      <c r="E1214" s="11" t="s">
        <v>1283</v>
      </c>
      <c r="F1214" s="11" t="str">
        <f aca="false">IFERROR(__xludf.dummyfunction("GOOGLETRANSLATE(B1214,""en"",""ar"")"),"أم")</f>
        <v>أم</v>
      </c>
      <c r="G1214" s="3" t="n">
        <v>0</v>
      </c>
      <c r="H1214" s="3" t="n">
        <v>0</v>
      </c>
    </row>
    <row r="1215" customFormat="false" ht="14.25" hidden="false" customHeight="true" outlineLevel="0" collapsed="false">
      <c r="A1215" s="1"/>
      <c r="B1215" s="1" t="s">
        <v>1339</v>
      </c>
      <c r="C1215" s="1" t="n">
        <v>10</v>
      </c>
      <c r="E1215" s="11" t="s">
        <v>42</v>
      </c>
      <c r="F1215" s="11" t="str">
        <f aca="false">IFERROR(__xludf.dummyfunction("GOOGLETRANSLATE(B1215,""en"",""ar"")"),"بالضرورة")</f>
        <v>بالضرورة</v>
      </c>
      <c r="G1215" s="3" t="n">
        <v>0</v>
      </c>
      <c r="H1215" s="3" t="n">
        <v>0</v>
      </c>
    </row>
    <row r="1216" customFormat="false" ht="14.25" hidden="false" customHeight="true" outlineLevel="0" collapsed="false">
      <c r="A1216" s="1"/>
      <c r="B1216" s="1" t="s">
        <v>1340</v>
      </c>
      <c r="C1216" s="1" t="n">
        <v>10</v>
      </c>
      <c r="E1216" s="11" t="s">
        <v>119</v>
      </c>
      <c r="F1216" s="11" t="str">
        <f aca="false">IFERROR(__xludf.dummyfunction("GOOGLETRANSLATE(B1216,""en"",""ar"")"),"صافي")</f>
        <v>صافي</v>
      </c>
      <c r="G1216" s="3" t="n">
        <v>0</v>
      </c>
      <c r="H1216" s="3" t="n">
        <v>0</v>
      </c>
    </row>
    <row r="1217" customFormat="false" ht="14.25" hidden="false" customHeight="true" outlineLevel="0" collapsed="false">
      <c r="A1217" s="1"/>
      <c r="B1217" s="1" t="s">
        <v>1341</v>
      </c>
      <c r="C1217" s="1" t="n">
        <v>10</v>
      </c>
      <c r="E1217" s="11" t="s">
        <v>83</v>
      </c>
      <c r="F1217" s="11" t="str">
        <f aca="false">IFERROR(__xludf.dummyfunction("GOOGLETRANSLATE(B1217,""en"",""ar"")"),"حفل")</f>
        <v>حفل</v>
      </c>
      <c r="G1217" s="3" t="n">
        <v>0</v>
      </c>
      <c r="H1217" s="3" t="n">
        <v>0</v>
      </c>
    </row>
    <row r="1218" customFormat="false" ht="14.25" hidden="false" customHeight="true" outlineLevel="0" collapsed="false">
      <c r="A1218" s="1"/>
      <c r="B1218" s="1" t="s">
        <v>1342</v>
      </c>
      <c r="C1218" s="1" t="n">
        <v>10</v>
      </c>
      <c r="E1218" s="11" t="s">
        <v>79</v>
      </c>
      <c r="F1218" s="11" t="str">
        <f aca="false">IFERROR(__xludf.dummyfunction("GOOGLETRANSLATE(B1218,""en"",""ar"")"),"الشخصية")</f>
        <v>الشخصية</v>
      </c>
      <c r="G1218" s="3" t="n">
        <v>0</v>
      </c>
      <c r="H1218" s="3" t="n">
        <v>0</v>
      </c>
    </row>
    <row r="1219" customFormat="false" ht="14.25" hidden="false" customHeight="true" outlineLevel="0" collapsed="false">
      <c r="A1219" s="1"/>
      <c r="B1219" s="1" t="s">
        <v>1343</v>
      </c>
      <c r="C1219" s="1" t="n">
        <v>10</v>
      </c>
      <c r="E1219" s="11" t="s">
        <v>42</v>
      </c>
      <c r="F1219" s="11" t="str">
        <f aca="false">IFERROR(__xludf.dummyfunction("GOOGLETRANSLATE(B1219,""en"",""ar"")"),"شخصيا")</f>
        <v>شخصيا</v>
      </c>
      <c r="G1219" s="3" t="n">
        <v>0</v>
      </c>
      <c r="H1219" s="3" t="n">
        <v>0</v>
      </c>
    </row>
    <row r="1220" customFormat="false" ht="14.25" hidden="false" customHeight="true" outlineLevel="0" collapsed="false">
      <c r="A1220" s="1"/>
      <c r="B1220" s="1" t="s">
        <v>1344</v>
      </c>
      <c r="C1220" s="1" t="n">
        <v>10</v>
      </c>
      <c r="E1220" s="11" t="s">
        <v>112</v>
      </c>
      <c r="F1220" s="11" t="str">
        <f aca="false">IFERROR(__xludf.dummyfunction("GOOGLETRANSLATE(B1220,""en"",""ar"")"),"عملي")</f>
        <v>عملي</v>
      </c>
      <c r="G1220" s="3" t="n">
        <v>0</v>
      </c>
      <c r="H1220" s="3" t="n">
        <v>0</v>
      </c>
    </row>
    <row r="1221" customFormat="false" ht="14.25" hidden="false" customHeight="true" outlineLevel="0" collapsed="false">
      <c r="A1221" s="1"/>
      <c r="B1221" s="1" t="s">
        <v>1345</v>
      </c>
      <c r="C1221" s="1" t="n">
        <v>10</v>
      </c>
      <c r="E1221" s="11" t="s">
        <v>1304</v>
      </c>
      <c r="F1221" s="11" t="str">
        <f aca="false">IFERROR(__xludf.dummyfunction("GOOGLETRANSLATE(B1221,""en"",""ar"")"),"المبدأ")</f>
        <v>المبدأ</v>
      </c>
      <c r="G1221" s="3" t="n">
        <v>0</v>
      </c>
      <c r="H1221" s="3" t="n">
        <v>0</v>
      </c>
    </row>
    <row r="1222" customFormat="false" ht="14.25" hidden="false" customHeight="true" outlineLevel="0" collapsed="false">
      <c r="A1222" s="1"/>
      <c r="B1222" s="1" t="s">
        <v>1346</v>
      </c>
      <c r="C1222" s="1" t="n">
        <v>10</v>
      </c>
      <c r="E1222" s="11" t="s">
        <v>1347</v>
      </c>
      <c r="F1222" s="11" t="str">
        <f aca="false">IFERROR(__xludf.dummyfunction("GOOGLETRANSLATE(B1222,""en"",""ar"")"),"مطبعة")</f>
        <v>مطبعة</v>
      </c>
      <c r="G1222" s="3" t="n">
        <v>0</v>
      </c>
      <c r="H1222" s="3" t="n">
        <v>0</v>
      </c>
    </row>
    <row r="1223" customFormat="false" ht="14.25" hidden="false" customHeight="true" outlineLevel="0" collapsed="false">
      <c r="A1223" s="1"/>
      <c r="B1223" s="1" t="s">
        <v>1348</v>
      </c>
      <c r="C1223" s="1" t="n">
        <v>10</v>
      </c>
      <c r="E1223" s="11" t="s">
        <v>112</v>
      </c>
      <c r="F1223" s="11" t="str">
        <f aca="false">IFERROR(__xludf.dummyfunction("GOOGLETRANSLATE(B1223,""en"",""ar"")"),"نفسي")</f>
        <v>نفسي</v>
      </c>
      <c r="G1223" s="3" t="n">
        <v>0</v>
      </c>
      <c r="H1223" s="3" t="n">
        <v>0</v>
      </c>
    </row>
    <row r="1224" customFormat="false" ht="14.25" hidden="false" customHeight="true" outlineLevel="0" collapsed="false">
      <c r="A1224" s="1"/>
      <c r="B1224" s="1" t="s">
        <v>1349</v>
      </c>
      <c r="C1224" s="1" t="n">
        <v>10</v>
      </c>
      <c r="E1224" s="11" t="s">
        <v>79</v>
      </c>
      <c r="F1224" s="11" t="str">
        <f aca="false">IFERROR(__xludf.dummyfunction("GOOGLETRANSLATE(B1224,""en"",""ar"")"),"علم النفس")</f>
        <v>علم النفس</v>
      </c>
      <c r="G1224" s="3" t="n">
        <v>0</v>
      </c>
      <c r="H1224" s="3" t="n">
        <v>0</v>
      </c>
    </row>
    <row r="1225" customFormat="false" ht="14.25" hidden="false" customHeight="true" outlineLevel="0" collapsed="false">
      <c r="A1225" s="1"/>
      <c r="B1225" s="1" t="s">
        <v>1350</v>
      </c>
      <c r="C1225" s="1" t="n">
        <v>10</v>
      </c>
      <c r="E1225" s="11" t="s">
        <v>1205</v>
      </c>
      <c r="F1225" s="11" t="str">
        <f aca="false">IFERROR(__xludf.dummyfunction("GOOGLETRANSLATE(B1225,""en"",""ar"")"),"رفع")</f>
        <v>رفع</v>
      </c>
      <c r="G1225" s="3" t="n">
        <v>0</v>
      </c>
      <c r="H1225" s="3" t="n">
        <v>0</v>
      </c>
    </row>
    <row r="1226" customFormat="false" ht="14.25" hidden="false" customHeight="true" outlineLevel="0" collapsed="false">
      <c r="A1226" s="1"/>
      <c r="B1226" s="1" t="s">
        <v>1351</v>
      </c>
      <c r="C1226" s="1" t="n">
        <v>10</v>
      </c>
      <c r="E1226" s="11" t="s">
        <v>42</v>
      </c>
      <c r="F1226" s="11" t="str">
        <f aca="false">IFERROR(__xludf.dummyfunction("GOOGLETRANSLATE(B1226,""en"",""ar"")"),"نادرا")</f>
        <v>نادرا</v>
      </c>
      <c r="G1226" s="3" t="n">
        <v>0</v>
      </c>
      <c r="H1226" s="3" t="n">
        <v>0</v>
      </c>
    </row>
    <row r="1227" customFormat="false" ht="14.25" hidden="false" customHeight="true" outlineLevel="0" collapsed="false">
      <c r="A1227" s="1"/>
      <c r="B1227" s="1" t="s">
        <v>1352</v>
      </c>
      <c r="C1227" s="1" t="n">
        <v>10</v>
      </c>
      <c r="E1227" s="11" t="s">
        <v>79</v>
      </c>
      <c r="F1227" s="11" t="str">
        <f aca="false">IFERROR(__xludf.dummyfunction("GOOGLETRANSLATE(B1227,""en"",""ar"")"),"توصية")</f>
        <v>توصية</v>
      </c>
      <c r="G1227" s="3" t="n">
        <v>0</v>
      </c>
      <c r="H1227" s="3" t="n">
        <v>0</v>
      </c>
    </row>
    <row r="1228" customFormat="false" ht="14.25" hidden="false" customHeight="true" outlineLevel="0" collapsed="false">
      <c r="A1228" s="1"/>
      <c r="B1228" s="1" t="s">
        <v>1353</v>
      </c>
      <c r="C1228" s="1" t="n">
        <v>10</v>
      </c>
      <c r="E1228" s="11" t="s">
        <v>42</v>
      </c>
      <c r="F1228" s="11" t="str">
        <f aca="false">IFERROR(__xludf.dummyfunction("GOOGLETRANSLATE(B1228,""en"",""ar"")"),"بشكل منتظم")</f>
        <v>بشكل منتظم</v>
      </c>
      <c r="G1228" s="3" t="n">
        <v>0</v>
      </c>
      <c r="H1228" s="3" t="n">
        <v>0</v>
      </c>
    </row>
    <row r="1229" customFormat="false" ht="14.25" hidden="false" customHeight="true" outlineLevel="0" collapsed="false">
      <c r="A1229" s="1"/>
      <c r="B1229" s="1" t="s">
        <v>1354</v>
      </c>
      <c r="C1229" s="1" t="n">
        <v>10</v>
      </c>
      <c r="E1229" s="11" t="s">
        <v>148</v>
      </c>
      <c r="F1229" s="11" t="str">
        <f aca="false">IFERROR(__xludf.dummyfunction("GOOGLETRANSLATE(B1229,""en"",""ar"")"),"نسبيا")</f>
        <v>نسبيا</v>
      </c>
      <c r="G1229" s="3" t="n">
        <v>0</v>
      </c>
      <c r="H1229" s="3" t="n">
        <v>0</v>
      </c>
    </row>
    <row r="1230" customFormat="false" ht="14.25" hidden="false" customHeight="true" outlineLevel="0" collapsed="false">
      <c r="A1230" s="1"/>
      <c r="B1230" s="1" t="s">
        <v>1355</v>
      </c>
      <c r="C1230" s="1" t="n">
        <v>10</v>
      </c>
      <c r="E1230" s="11" t="s">
        <v>79</v>
      </c>
      <c r="F1230" s="11" t="str">
        <f aca="false">IFERROR(__xludf.dummyfunction("GOOGLETRANSLATE(B1230,""en"",""ar"")"),"استجابة")</f>
        <v>استجابة</v>
      </c>
      <c r="G1230" s="3" t="n">
        <v>0</v>
      </c>
      <c r="H1230" s="3" t="n">
        <v>0</v>
      </c>
    </row>
    <row r="1231" customFormat="false" ht="14.25" hidden="false" customHeight="true" outlineLevel="0" collapsed="false">
      <c r="A1231" s="1"/>
      <c r="B1231" s="1" t="s">
        <v>1356</v>
      </c>
      <c r="C1231" s="1" t="n">
        <v>10</v>
      </c>
      <c r="E1231" s="11" t="s">
        <v>1304</v>
      </c>
      <c r="F1231" s="11" t="str">
        <f aca="false">IFERROR(__xludf.dummyfunction("GOOGLETRANSLATE(B1231,""en"",""ar"")"),"تخفيض السعر")</f>
        <v>تخفيض السعر</v>
      </c>
      <c r="G1231" s="3" t="n">
        <v>0</v>
      </c>
      <c r="H1231" s="3" t="n">
        <v>0</v>
      </c>
    </row>
    <row r="1232" customFormat="false" ht="14.25" hidden="false" customHeight="true" outlineLevel="0" collapsed="false">
      <c r="A1232" s="1"/>
      <c r="B1232" s="1" t="s">
        <v>1357</v>
      </c>
      <c r="C1232" s="1" t="n">
        <v>10</v>
      </c>
      <c r="E1232" s="11" t="s">
        <v>1210</v>
      </c>
      <c r="F1232" s="11" t="str">
        <f aca="false">IFERROR(__xludf.dummyfunction("GOOGLETRANSLATE(B1232,""en"",""ar"")"),"الموسم")</f>
        <v>الموسم</v>
      </c>
      <c r="G1232" s="3" t="n">
        <v>0</v>
      </c>
      <c r="H1232" s="3" t="n">
        <v>0</v>
      </c>
    </row>
    <row r="1233" customFormat="false" ht="14.25" hidden="false" customHeight="true" outlineLevel="0" collapsed="false">
      <c r="A1233" s="1"/>
      <c r="B1233" s="1" t="s">
        <v>1358</v>
      </c>
      <c r="C1233" s="1" t="n">
        <v>10</v>
      </c>
      <c r="E1233" s="11" t="s">
        <v>79</v>
      </c>
      <c r="F1233" s="11" t="str">
        <f aca="false">IFERROR(__xludf.dummyfunction("GOOGLETRANSLATE(B1233,""en"",""ar"")"),"اختيار")</f>
        <v>اختيار</v>
      </c>
      <c r="G1233" s="3" t="n">
        <v>0</v>
      </c>
      <c r="H1233" s="3" t="n">
        <v>0</v>
      </c>
    </row>
    <row r="1234" customFormat="false" ht="14.25" hidden="false" customHeight="true" outlineLevel="0" collapsed="false">
      <c r="A1234" s="1"/>
      <c r="B1234" s="1" t="s">
        <v>1359</v>
      </c>
      <c r="C1234" s="1" t="n">
        <v>10</v>
      </c>
      <c r="E1234" s="11" t="s">
        <v>112</v>
      </c>
      <c r="F1234" s="11" t="str">
        <f aca="false">IFERROR(__xludf.dummyfunction("GOOGLETRANSLATE(B1234,""en"",""ar"")"),"شديدة")</f>
        <v>شديدة</v>
      </c>
      <c r="G1234" s="3" t="n">
        <v>0</v>
      </c>
      <c r="H1234" s="3" t="n">
        <v>0</v>
      </c>
    </row>
    <row r="1235" customFormat="false" ht="14.25" hidden="false" customHeight="true" outlineLevel="0" collapsed="false">
      <c r="A1235" s="1"/>
      <c r="B1235" s="1" t="s">
        <v>1360</v>
      </c>
      <c r="C1235" s="1" t="n">
        <v>10</v>
      </c>
      <c r="E1235" s="11" t="s">
        <v>83</v>
      </c>
      <c r="F1235" s="11" t="str">
        <f aca="false">IFERROR(__xludf.dummyfunction("GOOGLETRANSLATE(B1235,""en"",""ar"")"),"الإشارة")</f>
        <v>الإشارة</v>
      </c>
      <c r="G1235" s="3" t="n">
        <v>0</v>
      </c>
      <c r="H1235" s="3" t="n">
        <v>0</v>
      </c>
    </row>
    <row r="1236" customFormat="false" ht="14.25" hidden="false" customHeight="true" outlineLevel="0" collapsed="false">
      <c r="A1236" s="1"/>
      <c r="B1236" s="1" t="s">
        <v>1361</v>
      </c>
      <c r="C1236" s="1" t="n">
        <v>10</v>
      </c>
      <c r="E1236" s="11" t="s">
        <v>42</v>
      </c>
      <c r="F1236" s="11" t="str">
        <f aca="false">IFERROR(__xludf.dummyfunction("GOOGLETRANSLATE(B1236,""en"",""ar"")"),"بصورة مماثلة")</f>
        <v>بصورة مماثلة</v>
      </c>
      <c r="G1236" s="3" t="n">
        <v>0</v>
      </c>
      <c r="H1236" s="3" t="n">
        <v>0</v>
      </c>
    </row>
    <row r="1237" customFormat="false" ht="14.25" hidden="false" customHeight="true" outlineLevel="0" collapsed="false">
      <c r="A1237" s="1"/>
      <c r="B1237" s="1" t="s">
        <v>1362</v>
      </c>
      <c r="C1237" s="1" t="n">
        <v>10</v>
      </c>
      <c r="E1237" s="11" t="s">
        <v>1205</v>
      </c>
      <c r="F1237" s="11" t="str">
        <f aca="false">IFERROR(__xludf.dummyfunction("GOOGLETRANSLATE(B1237,""en"",""ar"")"),"نايم")</f>
        <v>نايم</v>
      </c>
      <c r="G1237" s="3" t="n">
        <v>0</v>
      </c>
      <c r="H1237" s="3" t="n">
        <v>0</v>
      </c>
    </row>
    <row r="1238" customFormat="false" ht="14.25" hidden="false" customHeight="true" outlineLevel="0" collapsed="false">
      <c r="A1238" s="1"/>
      <c r="B1238" s="1" t="s">
        <v>1363</v>
      </c>
      <c r="C1238" s="1" t="n">
        <v>10</v>
      </c>
      <c r="E1238" s="11" t="s">
        <v>648</v>
      </c>
      <c r="F1238" s="11" t="str">
        <f aca="false">IFERROR(__xludf.dummyfunction("GOOGLETRANSLATE(B1238,""en"",""ar"")"),"ناعم")</f>
        <v>ناعم</v>
      </c>
      <c r="G1238" s="3" t="n">
        <v>0</v>
      </c>
      <c r="H1238" s="3" t="n">
        <v>0</v>
      </c>
    </row>
    <row r="1239" customFormat="false" ht="14.25" hidden="false" customHeight="true" outlineLevel="0" collapsed="false">
      <c r="A1239" s="1"/>
      <c r="B1239" s="1" t="s">
        <v>1364</v>
      </c>
      <c r="C1239" s="1" t="n">
        <v>10</v>
      </c>
      <c r="E1239" s="11" t="s">
        <v>314</v>
      </c>
      <c r="F1239" s="11" t="str">
        <f aca="false">IFERROR(__xludf.dummyfunction("GOOGLETRANSLATE(B1239,""en"",""ar"")"),"مكان ما")</f>
        <v>مكان ما</v>
      </c>
      <c r="G1239" s="3" t="n">
        <v>0</v>
      </c>
      <c r="H1239" s="3" t="n">
        <v>0</v>
      </c>
    </row>
    <row r="1240" customFormat="false" ht="14.25" hidden="false" customHeight="true" outlineLevel="0" collapsed="false">
      <c r="A1240" s="1"/>
      <c r="B1240" s="1" t="s">
        <v>1365</v>
      </c>
      <c r="C1240" s="1" t="n">
        <v>10</v>
      </c>
      <c r="E1240" s="11" t="s">
        <v>1210</v>
      </c>
      <c r="F1240" s="11" t="str">
        <f aca="false">IFERROR(__xludf.dummyfunction("GOOGLETRANSLATE(B1240,""en"",""ar"")"),"روح")</f>
        <v>روح</v>
      </c>
      <c r="G1240" s="3" t="n">
        <v>0</v>
      </c>
      <c r="H1240" s="3" t="n">
        <v>0</v>
      </c>
    </row>
    <row r="1241" customFormat="false" ht="14.25" hidden="false" customHeight="true" outlineLevel="0" collapsed="false">
      <c r="A1241" s="1"/>
      <c r="B1241" s="1" t="s">
        <v>1366</v>
      </c>
      <c r="C1241" s="1" t="n">
        <v>10</v>
      </c>
      <c r="E1241" s="11" t="s">
        <v>79</v>
      </c>
      <c r="F1241" s="11" t="str">
        <f aca="false">IFERROR(__xludf.dummyfunction("GOOGLETRANSLATE(B1241,""en"",""ar"")"),"تخزين")</f>
        <v>تخزين</v>
      </c>
      <c r="G1241" s="3" t="n">
        <v>0</v>
      </c>
      <c r="H1241" s="3" t="n">
        <v>0</v>
      </c>
    </row>
    <row r="1242" customFormat="false" ht="14.25" hidden="false" customHeight="true" outlineLevel="0" collapsed="false">
      <c r="A1242" s="1"/>
      <c r="B1242" s="1" t="s">
        <v>1367</v>
      </c>
      <c r="C1242" s="1" t="n">
        <v>10</v>
      </c>
      <c r="E1242" s="11" t="s">
        <v>1297</v>
      </c>
      <c r="F1242" s="11" t="str">
        <f aca="false">IFERROR(__xludf.dummyfunction("GOOGLETRANSLATE(B1242,""en"",""ar"")"),"شارع")</f>
        <v>شارع</v>
      </c>
      <c r="G1242" s="3" t="n">
        <v>0</v>
      </c>
      <c r="H1242" s="3" t="n">
        <v>0</v>
      </c>
    </row>
    <row r="1243" customFormat="false" ht="14.25" hidden="false" customHeight="true" outlineLevel="0" collapsed="false">
      <c r="A1243" s="1"/>
      <c r="B1243" s="1" t="s">
        <v>1368</v>
      </c>
      <c r="C1243" s="1" t="n">
        <v>10</v>
      </c>
      <c r="E1243" s="11" t="s">
        <v>112</v>
      </c>
      <c r="F1243" s="11" t="str">
        <f aca="false">IFERROR(__xludf.dummyfunction("GOOGLETRANSLATE(B1243,""en"",""ar"")"),"مناسب")</f>
        <v>مناسب</v>
      </c>
      <c r="G1243" s="3" t="n">
        <v>0</v>
      </c>
      <c r="H1243" s="3" t="n">
        <v>0</v>
      </c>
    </row>
    <row r="1244" customFormat="false" ht="14.25" hidden="false" customHeight="true" outlineLevel="0" collapsed="false">
      <c r="A1244" s="1"/>
      <c r="B1244" s="1" t="s">
        <v>1369</v>
      </c>
      <c r="C1244" s="1" t="n">
        <v>10</v>
      </c>
      <c r="E1244" s="11" t="s">
        <v>1210</v>
      </c>
      <c r="F1244" s="11" t="str">
        <f aca="false">IFERROR(__xludf.dummyfunction("GOOGLETRANSLATE(B1244,""en"",""ar"")"),"شجرة")</f>
        <v>شجرة</v>
      </c>
      <c r="G1244" s="3" t="n">
        <v>0</v>
      </c>
      <c r="H1244" s="3" t="n">
        <v>0</v>
      </c>
    </row>
    <row r="1245" customFormat="false" ht="14.25" hidden="false" customHeight="true" outlineLevel="0" collapsed="false">
      <c r="A1245" s="1"/>
      <c r="B1245" s="1" t="s">
        <v>1370</v>
      </c>
      <c r="C1245" s="1" t="n">
        <v>10</v>
      </c>
      <c r="E1245" s="11" t="s">
        <v>79</v>
      </c>
      <c r="F1245" s="11" t="str">
        <f aca="false">IFERROR(__xludf.dummyfunction("GOOGLETRANSLATE(B1245,""en"",""ar"")"),"إصدار")</f>
        <v>إصدار</v>
      </c>
      <c r="G1245" s="3" t="n">
        <v>0</v>
      </c>
      <c r="H1245" s="3" t="n">
        <v>0</v>
      </c>
    </row>
    <row r="1246" customFormat="false" ht="14.25" hidden="false" customHeight="true" outlineLevel="0" collapsed="false">
      <c r="A1246" s="1"/>
      <c r="B1246" s="1" t="s">
        <v>1371</v>
      </c>
      <c r="C1246" s="1" t="n">
        <v>10</v>
      </c>
      <c r="E1246" s="11" t="s">
        <v>1210</v>
      </c>
      <c r="F1246" s="11" t="str">
        <f aca="false">IFERROR(__xludf.dummyfunction("GOOGLETRANSLATE(B1246,""en"",""ar"")"),"لوح")</f>
        <v>لوح</v>
      </c>
      <c r="G1246" s="3" t="n">
        <v>0</v>
      </c>
      <c r="H1246" s="3" t="n">
        <v>0</v>
      </c>
    </row>
    <row r="1247" customFormat="false" ht="14.25" hidden="false" customHeight="true" outlineLevel="0" collapsed="false">
      <c r="A1247" s="1"/>
      <c r="B1247" s="1" t="s">
        <v>1372</v>
      </c>
      <c r="C1247" s="1" t="n">
        <v>9</v>
      </c>
      <c r="E1247" s="11" t="s">
        <v>324</v>
      </c>
      <c r="F1247" s="11" t="str">
        <f aca="false">IFERROR(__xludf.dummyfunction("GOOGLETRANSLATE(B1247,""en"",""ar"")"),"يتقدم")</f>
        <v>يتقدم</v>
      </c>
      <c r="G1247" s="3" t="n">
        <v>0</v>
      </c>
      <c r="H1247" s="3" t="n">
        <v>0</v>
      </c>
    </row>
    <row r="1248" customFormat="false" ht="14.25" hidden="false" customHeight="true" outlineLevel="0" collapsed="false">
      <c r="A1248" s="1"/>
      <c r="B1248" s="1" t="s">
        <v>1373</v>
      </c>
      <c r="C1248" s="1" t="n">
        <v>9</v>
      </c>
      <c r="E1248" s="11" t="s">
        <v>79</v>
      </c>
      <c r="F1248" s="11" t="str">
        <f aca="false">IFERROR(__xludf.dummyfunction("GOOGLETRANSLATE(B1248,""en"",""ar"")"),"كحول")</f>
        <v>كحول</v>
      </c>
      <c r="G1248" s="3" t="n">
        <v>0</v>
      </c>
      <c r="H1248" s="3" t="n">
        <v>0</v>
      </c>
    </row>
    <row r="1249" customFormat="false" ht="14.25" hidden="false" customHeight="true" outlineLevel="0" collapsed="false">
      <c r="A1249" s="1"/>
      <c r="B1249" s="1" t="s">
        <v>1374</v>
      </c>
      <c r="C1249" s="1" t="n">
        <v>9</v>
      </c>
      <c r="E1249" s="11" t="s">
        <v>314</v>
      </c>
      <c r="F1249" s="11" t="str">
        <f aca="false">IFERROR(__xludf.dummyfunction("GOOGLETRANSLATE(B1249,""en"",""ar"")"),"في أى مكان")</f>
        <v>في أى مكان</v>
      </c>
      <c r="G1249" s="3" t="n">
        <v>0</v>
      </c>
      <c r="H1249" s="3" t="n">
        <v>0</v>
      </c>
    </row>
    <row r="1250" customFormat="false" ht="14.25" hidden="false" customHeight="true" outlineLevel="0" collapsed="false">
      <c r="A1250" s="1"/>
      <c r="B1250" s="1" t="s">
        <v>1375</v>
      </c>
      <c r="C1250" s="1" t="n">
        <v>9</v>
      </c>
      <c r="E1250" s="11" t="s">
        <v>79</v>
      </c>
      <c r="F1250" s="11" t="str">
        <f aca="false">IFERROR(__xludf.dummyfunction("GOOGLETRANSLATE(B1250,""en"",""ar"")"),"جدال")</f>
        <v>جدال</v>
      </c>
      <c r="G1250" s="3" t="n">
        <v>0</v>
      </c>
      <c r="H1250" s="3" t="n">
        <v>0</v>
      </c>
    </row>
    <row r="1251" customFormat="false" ht="14.25" hidden="false" customHeight="true" outlineLevel="0" collapsed="false">
      <c r="A1251" s="1"/>
      <c r="B1251" s="1" t="s">
        <v>1376</v>
      </c>
      <c r="C1251" s="1" t="n">
        <v>9</v>
      </c>
      <c r="E1251" s="11" t="s">
        <v>42</v>
      </c>
      <c r="F1251" s="11" t="str">
        <f aca="false">IFERROR(__xludf.dummyfunction("GOOGLETRANSLATE(B1251,""en"",""ar"")"),"في الأساس")</f>
        <v>في الأساس</v>
      </c>
      <c r="G1251" s="3" t="n">
        <v>0</v>
      </c>
      <c r="H1251" s="3" t="n">
        <v>0</v>
      </c>
    </row>
    <row r="1252" customFormat="false" ht="14.25" hidden="false" customHeight="true" outlineLevel="0" collapsed="false">
      <c r="A1252" s="1"/>
      <c r="B1252" s="1" t="s">
        <v>1377</v>
      </c>
      <c r="C1252" s="1" t="n">
        <v>9</v>
      </c>
      <c r="E1252" s="11" t="s">
        <v>119</v>
      </c>
      <c r="F1252" s="11" t="str">
        <f aca="false">IFERROR(__xludf.dummyfunction("GOOGLETRANSLATE(B1252,""en"",""ar"")"),"حزام")</f>
        <v>حزام</v>
      </c>
      <c r="G1252" s="3" t="n">
        <v>0</v>
      </c>
      <c r="H1252" s="3" t="n">
        <v>0</v>
      </c>
    </row>
    <row r="1253" customFormat="false" ht="14.25" hidden="false" customHeight="true" outlineLevel="0" collapsed="false">
      <c r="A1253" s="1"/>
      <c r="B1253" s="1" t="s">
        <v>1378</v>
      </c>
      <c r="C1253" s="1" t="n">
        <v>9</v>
      </c>
      <c r="E1253" s="11" t="s">
        <v>119</v>
      </c>
      <c r="F1253" s="11" t="str">
        <f aca="false">IFERROR(__xludf.dummyfunction("GOOGLETRANSLATE(B1253,""en"",""ar"")"),"مقعد")</f>
        <v>مقعد</v>
      </c>
      <c r="G1253" s="3" t="n">
        <v>0</v>
      </c>
      <c r="H1253" s="3" t="n">
        <v>0</v>
      </c>
    </row>
    <row r="1254" customFormat="false" ht="14.25" hidden="false" customHeight="true" outlineLevel="0" collapsed="false">
      <c r="A1254" s="1"/>
      <c r="B1254" s="1" t="s">
        <v>1379</v>
      </c>
      <c r="C1254" s="1" t="n">
        <v>9</v>
      </c>
      <c r="E1254" s="11" t="s">
        <v>87</v>
      </c>
      <c r="F1254" s="11" t="str">
        <f aca="false">IFERROR(__xludf.dummyfunction("GOOGLETRANSLATE(B1254,""en"",""ar"")"),"مغلق")</f>
        <v>مغلق</v>
      </c>
      <c r="G1254" s="3" t="n">
        <v>0</v>
      </c>
      <c r="H1254" s="3" t="n">
        <v>0</v>
      </c>
    </row>
    <row r="1255" customFormat="false" ht="14.25" hidden="false" customHeight="true" outlineLevel="0" collapsed="false">
      <c r="A1255" s="1"/>
      <c r="B1255" s="1" t="s">
        <v>1380</v>
      </c>
      <c r="C1255" s="1" t="n">
        <v>9</v>
      </c>
      <c r="E1255" s="11" t="s">
        <v>42</v>
      </c>
      <c r="F1255" s="11" t="str">
        <f aca="false">IFERROR(__xludf.dummyfunction("GOOGLETRANSLATE(B1255,""en"",""ar"")"),"بعناية")</f>
        <v>بعناية</v>
      </c>
      <c r="G1255" s="3" t="n">
        <v>0</v>
      </c>
      <c r="H1255" s="3" t="n">
        <v>0</v>
      </c>
    </row>
    <row r="1256" customFormat="false" ht="14.25" hidden="false" customHeight="true" outlineLevel="0" collapsed="false">
      <c r="A1256" s="1"/>
      <c r="B1256" s="1" t="s">
        <v>1381</v>
      </c>
      <c r="C1256" s="1" t="n">
        <v>9</v>
      </c>
      <c r="E1256" s="11" t="s">
        <v>119</v>
      </c>
      <c r="F1256" s="11" t="str">
        <f aca="false">IFERROR(__xludf.dummyfunction("GOOGLETRANSLATE(B1256,""en"",""ar"")"),"عمولة")</f>
        <v>عمولة</v>
      </c>
      <c r="G1256" s="3" t="n">
        <v>0</v>
      </c>
      <c r="H1256" s="3" t="n">
        <v>0</v>
      </c>
    </row>
    <row r="1257" customFormat="false" ht="14.25" hidden="false" customHeight="true" outlineLevel="0" collapsed="false">
      <c r="A1257" s="1"/>
      <c r="B1257" s="1" t="s">
        <v>1382</v>
      </c>
      <c r="C1257" s="1" t="n">
        <v>9</v>
      </c>
      <c r="E1257" s="11" t="s">
        <v>79</v>
      </c>
      <c r="F1257" s="11" t="str">
        <f aca="false">IFERROR(__xludf.dummyfunction("GOOGLETRANSLATE(B1257,""en"",""ar"")"),"شكوى")</f>
        <v>شكوى</v>
      </c>
      <c r="G1257" s="3" t="n">
        <v>0</v>
      </c>
      <c r="H1257" s="3" t="n">
        <v>0</v>
      </c>
    </row>
    <row r="1258" customFormat="false" ht="14.25" hidden="false" customHeight="true" outlineLevel="0" collapsed="false">
      <c r="A1258" s="1"/>
      <c r="B1258" s="1" t="s">
        <v>1383</v>
      </c>
      <c r="C1258" s="1" t="n">
        <v>9</v>
      </c>
      <c r="E1258" s="11" t="s">
        <v>644</v>
      </c>
      <c r="F1258" s="11" t="str">
        <f aca="false">IFERROR(__xludf.dummyfunction("GOOGLETRANSLATE(B1258,""en"",""ar"")"),"الاتصال")</f>
        <v>الاتصال</v>
      </c>
      <c r="G1258" s="3" t="n">
        <v>0</v>
      </c>
      <c r="H1258" s="3" t="n">
        <v>0</v>
      </c>
    </row>
    <row r="1259" customFormat="false" ht="14.25" hidden="false" customHeight="true" outlineLevel="0" collapsed="false">
      <c r="A1259" s="1"/>
      <c r="B1259" s="1" t="s">
        <v>1384</v>
      </c>
      <c r="C1259" s="1" t="n">
        <v>9</v>
      </c>
      <c r="E1259" s="11" t="s">
        <v>94</v>
      </c>
      <c r="F1259" s="11" t="str">
        <f aca="false">IFERROR(__xludf.dummyfunction("GOOGLETRANSLATE(B1259,""en"",""ar"")"),"تتألف")</f>
        <v>تتألف</v>
      </c>
      <c r="G1259" s="3" t="n">
        <v>0</v>
      </c>
      <c r="H1259" s="3" t="n">
        <v>0</v>
      </c>
    </row>
    <row r="1260" customFormat="false" ht="14.25" hidden="false" customHeight="true" outlineLevel="0" collapsed="false">
      <c r="A1260" s="1"/>
      <c r="B1260" s="1" t="s">
        <v>1385</v>
      </c>
      <c r="C1260" s="1" t="n">
        <v>9</v>
      </c>
      <c r="E1260" s="11" t="s">
        <v>79</v>
      </c>
      <c r="F1260" s="11" t="str">
        <f aca="false">IFERROR(__xludf.dummyfunction("GOOGLETRANSLATE(B1260,""en"",""ar"")"),"اتفافية")</f>
        <v>اتفافية</v>
      </c>
      <c r="G1260" s="3" t="n">
        <v>0</v>
      </c>
      <c r="H1260" s="3" t="n">
        <v>0</v>
      </c>
    </row>
    <row r="1261" customFormat="false" ht="14.25" hidden="false" customHeight="true" outlineLevel="0" collapsed="false">
      <c r="A1261" s="1"/>
      <c r="B1261" s="1" t="s">
        <v>1386</v>
      </c>
      <c r="C1261" s="1" t="n">
        <v>9</v>
      </c>
      <c r="E1261" s="11" t="s">
        <v>1262</v>
      </c>
      <c r="F1261" s="11" t="str">
        <f aca="false">IFERROR(__xludf.dummyfunction("GOOGLETRANSLATE(B1261,""en"",""ar"")"),"يساهم")</f>
        <v>يساهم</v>
      </c>
      <c r="G1261" s="3" t="n">
        <v>0</v>
      </c>
      <c r="H1261" s="3" t="n">
        <v>0</v>
      </c>
    </row>
    <row r="1262" customFormat="false" ht="14.25" hidden="false" customHeight="true" outlineLevel="0" collapsed="false">
      <c r="A1262" s="1"/>
      <c r="B1262" s="1" t="s">
        <v>1387</v>
      </c>
      <c r="C1262" s="1" t="n">
        <v>9</v>
      </c>
      <c r="E1262" s="11" t="s">
        <v>1210</v>
      </c>
      <c r="F1262" s="11" t="str">
        <f aca="false">IFERROR(__xludf.dummyfunction("GOOGLETRANSLATE(B1262,""en"",""ar"")"),"ينسخ")</f>
        <v>ينسخ</v>
      </c>
      <c r="G1262" s="3" t="n">
        <v>0</v>
      </c>
      <c r="H1262" s="3" t="n">
        <v>0</v>
      </c>
    </row>
    <row r="1263" customFormat="false" ht="14.25" hidden="false" customHeight="true" outlineLevel="0" collapsed="false">
      <c r="A1263" s="1"/>
      <c r="B1263" s="1" t="s">
        <v>1388</v>
      </c>
      <c r="C1263" s="1" t="n">
        <v>9</v>
      </c>
      <c r="E1263" s="11" t="s">
        <v>1389</v>
      </c>
      <c r="F1263" s="11" t="str">
        <f aca="false">IFERROR(__xludf.dummyfunction("GOOGLETRANSLATE(B1263,""en"",""ar"")"),"داكن")</f>
        <v>داكن</v>
      </c>
      <c r="G1263" s="3" t="n">
        <v>0</v>
      </c>
      <c r="H1263" s="3" t="n">
        <v>0</v>
      </c>
    </row>
    <row r="1264" customFormat="false" ht="14.25" hidden="false" customHeight="true" outlineLevel="0" collapsed="false">
      <c r="A1264" s="1"/>
      <c r="B1264" s="1" t="s">
        <v>1390</v>
      </c>
      <c r="C1264" s="1" t="n">
        <v>9</v>
      </c>
      <c r="E1264" s="11" t="s">
        <v>12</v>
      </c>
      <c r="F1264" s="11" t="str">
        <f aca="false">IFERROR(__xludf.dummyfunction("GOOGLETRANSLATE(B1264,""en"",""ar"")"),"اختلف")</f>
        <v>اختلف</v>
      </c>
      <c r="G1264" s="3" t="n">
        <v>0</v>
      </c>
      <c r="H1264" s="3" t="n">
        <v>0</v>
      </c>
    </row>
    <row r="1265" customFormat="false" ht="14.25" hidden="false" customHeight="true" outlineLevel="0" collapsed="false">
      <c r="A1265" s="1"/>
      <c r="B1265" s="1" t="s">
        <v>1391</v>
      </c>
      <c r="C1265" s="1" t="n">
        <v>9</v>
      </c>
      <c r="E1265" s="11" t="s">
        <v>1392</v>
      </c>
      <c r="F1265" s="11" t="str">
        <f aca="false">IFERROR(__xludf.dummyfunction("GOOGLETRANSLATE(B1265,""en"",""ar"")"),"مزدوج")</f>
        <v>مزدوج</v>
      </c>
      <c r="G1265" s="3" t="n">
        <v>0</v>
      </c>
      <c r="H1265" s="3" t="n">
        <v>0</v>
      </c>
    </row>
    <row r="1266" customFormat="false" ht="14.25" hidden="false" customHeight="true" outlineLevel="0" collapsed="false">
      <c r="A1266" s="1"/>
      <c r="B1266" s="1" t="s">
        <v>1393</v>
      </c>
      <c r="C1266" s="1" t="n">
        <v>9</v>
      </c>
      <c r="E1266" s="11" t="s">
        <v>1205</v>
      </c>
      <c r="F1266" s="11" t="str">
        <f aca="false">IFERROR(__xludf.dummyfunction("GOOGLETRANSLATE(B1266,""en"",""ar"")"),"رسم")</f>
        <v>رسم</v>
      </c>
      <c r="G1266" s="3" t="n">
        <v>0</v>
      </c>
      <c r="H1266" s="3" t="n">
        <v>0</v>
      </c>
    </row>
    <row r="1267" customFormat="false" ht="14.25" hidden="false" customHeight="true" outlineLevel="0" collapsed="false">
      <c r="A1267" s="1"/>
      <c r="B1267" s="1" t="s">
        <v>1394</v>
      </c>
      <c r="C1267" s="1" t="n">
        <v>9</v>
      </c>
      <c r="E1267" s="11" t="s">
        <v>119</v>
      </c>
      <c r="F1267" s="11" t="str">
        <f aca="false">IFERROR(__xludf.dummyfunction("GOOGLETRANSLATE(B1267,""en"",""ar"")"),"يسقط")</f>
        <v>يسقط</v>
      </c>
      <c r="G1267" s="3" t="n">
        <v>0</v>
      </c>
      <c r="H1267" s="3" t="n">
        <v>0</v>
      </c>
    </row>
    <row r="1268" customFormat="false" ht="14.25" hidden="false" customHeight="true" outlineLevel="0" collapsed="false">
      <c r="A1268" s="1"/>
      <c r="B1268" s="1" t="s">
        <v>1395</v>
      </c>
      <c r="C1268" s="1" t="n">
        <v>9</v>
      </c>
      <c r="E1268" s="11" t="s">
        <v>42</v>
      </c>
      <c r="F1268" s="11" t="str">
        <f aca="false">IFERROR(__xludf.dummyfunction("GOOGLETRANSLATE(B1268,""en"",""ar"")"),"على نحو فعال")</f>
        <v>على نحو فعال</v>
      </c>
      <c r="G1268" s="3" t="n">
        <v>0</v>
      </c>
      <c r="H1268" s="3" t="n">
        <v>0</v>
      </c>
    </row>
    <row r="1269" customFormat="false" ht="14.25" hidden="false" customHeight="true" outlineLevel="0" collapsed="false">
      <c r="A1269" s="1"/>
      <c r="B1269" s="1" t="s">
        <v>1396</v>
      </c>
      <c r="C1269" s="1" t="n">
        <v>9</v>
      </c>
      <c r="E1269" s="11" t="s">
        <v>79</v>
      </c>
      <c r="F1269" s="11" t="str">
        <f aca="false">IFERROR(__xludf.dummyfunction("GOOGLETRANSLATE(B1269,""en"",""ar"")"),"تشديد")</f>
        <v>تشديد</v>
      </c>
      <c r="G1269" s="3" t="n">
        <v>0</v>
      </c>
      <c r="H1269" s="3" t="n">
        <v>0</v>
      </c>
    </row>
    <row r="1270" customFormat="false" ht="14.25" hidden="false" customHeight="true" outlineLevel="0" collapsed="false">
      <c r="A1270" s="1"/>
      <c r="B1270" s="1" t="s">
        <v>1397</v>
      </c>
      <c r="C1270" s="1" t="n">
        <v>9</v>
      </c>
      <c r="E1270" s="11" t="s">
        <v>12</v>
      </c>
      <c r="F1270" s="11" t="str">
        <f aca="false">IFERROR(__xludf.dummyfunction("GOOGLETRANSLATE(B1270,""en"",""ar"")"),"يشجع")</f>
        <v>يشجع</v>
      </c>
      <c r="G1270" s="3" t="n">
        <v>0</v>
      </c>
      <c r="H1270" s="3" t="n">
        <v>0</v>
      </c>
    </row>
    <row r="1271" customFormat="false" ht="14.25" hidden="false" customHeight="true" outlineLevel="0" collapsed="false">
      <c r="A1271" s="1"/>
      <c r="B1271" s="1" t="s">
        <v>1398</v>
      </c>
      <c r="C1271" s="1" t="n">
        <v>9</v>
      </c>
      <c r="E1271" s="11" t="s">
        <v>405</v>
      </c>
      <c r="F1271" s="11" t="str">
        <f aca="false">IFERROR(__xludf.dummyfunction("GOOGLETRANSLATE(B1271,""en"",""ar"")"),"مساو")</f>
        <v>مساو</v>
      </c>
      <c r="G1271" s="3" t="n">
        <v>0</v>
      </c>
      <c r="H1271" s="3" t="n">
        <v>0</v>
      </c>
    </row>
    <row r="1272" customFormat="false" ht="14.25" hidden="false" customHeight="true" outlineLevel="0" collapsed="false">
      <c r="A1272" s="1"/>
      <c r="B1272" s="1" t="s">
        <v>1399</v>
      </c>
      <c r="C1272" s="1" t="n">
        <v>9</v>
      </c>
      <c r="E1272" s="11" t="s">
        <v>30</v>
      </c>
      <c r="F1272" s="11" t="str">
        <f aca="false">IFERROR(__xludf.dummyfunction("GOOGLETRANSLATE(B1272,""en"",""ar"")"),"الجميع")</f>
        <v>الجميع</v>
      </c>
      <c r="G1272" s="3" t="n">
        <v>0</v>
      </c>
      <c r="H1272" s="3" t="n">
        <v>0</v>
      </c>
    </row>
    <row r="1273" customFormat="false" ht="14.25" hidden="false" customHeight="true" outlineLevel="0" collapsed="false">
      <c r="A1273" s="1"/>
      <c r="B1273" s="1" t="s">
        <v>1400</v>
      </c>
      <c r="C1273" s="1" t="n">
        <v>9</v>
      </c>
      <c r="E1273" s="11" t="s">
        <v>12</v>
      </c>
      <c r="F1273" s="11" t="str">
        <f aca="false">IFERROR(__xludf.dummyfunction("GOOGLETRANSLATE(B1273,""en"",""ar"")"),"وسعت")</f>
        <v>وسعت</v>
      </c>
      <c r="G1273" s="3" t="n">
        <v>0</v>
      </c>
      <c r="H1273" s="3" t="n">
        <v>0</v>
      </c>
    </row>
    <row r="1274" customFormat="false" ht="14.25" hidden="false" customHeight="true" outlineLevel="0" collapsed="false">
      <c r="A1274" s="1"/>
      <c r="B1274" s="1" t="s">
        <v>1401</v>
      </c>
      <c r="C1274" s="1" t="n">
        <v>9</v>
      </c>
      <c r="E1274" s="11" t="s">
        <v>1402</v>
      </c>
      <c r="F1274" s="11" t="str">
        <f aca="false">IFERROR(__xludf.dummyfunction("GOOGLETRANSLATE(B1274,""en"",""ar"")"),"مؤسسة")</f>
        <v>مؤسسة</v>
      </c>
      <c r="G1274" s="3" t="n">
        <v>0</v>
      </c>
      <c r="H1274" s="3" t="n">
        <v>0</v>
      </c>
    </row>
    <row r="1275" customFormat="false" ht="14.25" hidden="false" customHeight="true" outlineLevel="0" collapsed="false">
      <c r="A1275" s="1"/>
      <c r="B1275" s="1" t="s">
        <v>1403</v>
      </c>
      <c r="C1275" s="1" t="n">
        <v>9</v>
      </c>
      <c r="E1275" s="11" t="s">
        <v>1205</v>
      </c>
      <c r="F1275" s="11" t="str">
        <f aca="false">IFERROR(__xludf.dummyfunction("GOOGLETRANSLATE(B1275,""en"",""ar"")"),"يصلح")</f>
        <v>يصلح</v>
      </c>
      <c r="G1275" s="3" t="n">
        <v>0</v>
      </c>
      <c r="H1275" s="3" t="n">
        <v>0</v>
      </c>
    </row>
    <row r="1276" customFormat="false" ht="14.25" hidden="false" customHeight="true" outlineLevel="0" collapsed="false">
      <c r="A1276" s="1"/>
      <c r="B1276" s="1" t="s">
        <v>1404</v>
      </c>
      <c r="C1276" s="1" t="n">
        <v>9</v>
      </c>
      <c r="E1276" s="11" t="s">
        <v>179</v>
      </c>
      <c r="F1276" s="11" t="str">
        <f aca="false">IFERROR(__xludf.dummyfunction("GOOGLETRANSLATE(B1276,""en"",""ar"")"),"متكرر")</f>
        <v>متكرر</v>
      </c>
      <c r="G1276" s="3" t="n">
        <v>0</v>
      </c>
      <c r="H1276" s="3" t="n">
        <v>0</v>
      </c>
    </row>
    <row r="1277" customFormat="false" ht="14.25" hidden="false" customHeight="true" outlineLevel="0" collapsed="false">
      <c r="A1277" s="1"/>
      <c r="B1277" s="1" t="s">
        <v>1405</v>
      </c>
      <c r="C1277" s="1" t="n">
        <v>9</v>
      </c>
      <c r="E1277" s="11" t="s">
        <v>79</v>
      </c>
      <c r="F1277" s="11" t="str">
        <f aca="false">IFERROR(__xludf.dummyfunction("GOOGLETRANSLATE(B1277,""en"",""ar"")"),"الطريق السريع")</f>
        <v>الطريق السريع</v>
      </c>
      <c r="G1277" s="3" t="n">
        <v>0</v>
      </c>
      <c r="H1277" s="3" t="n">
        <v>0</v>
      </c>
    </row>
    <row r="1278" customFormat="false" ht="14.25" hidden="false" customHeight="true" outlineLevel="0" collapsed="false">
      <c r="A1278" s="1"/>
      <c r="B1278" s="1" t="s">
        <v>1406</v>
      </c>
      <c r="C1278" s="1" t="n">
        <v>9</v>
      </c>
      <c r="E1278" s="11" t="s">
        <v>1347</v>
      </c>
      <c r="F1278" s="11" t="str">
        <f aca="false">IFERROR(__xludf.dummyfunction("GOOGLETRANSLATE(B1278,""en"",""ar"")"),"توظيف")</f>
        <v>توظيف</v>
      </c>
      <c r="G1278" s="3" t="n">
        <v>0</v>
      </c>
      <c r="H1278" s="3" t="n">
        <v>0</v>
      </c>
    </row>
    <row r="1279" customFormat="false" ht="14.25" hidden="false" customHeight="true" outlineLevel="0" collapsed="false">
      <c r="A1279" s="1"/>
      <c r="B1279" s="1" t="s">
        <v>1407</v>
      </c>
      <c r="C1279" s="1" t="n">
        <v>9</v>
      </c>
      <c r="E1279" s="11" t="s">
        <v>42</v>
      </c>
      <c r="F1279" s="11" t="str">
        <f aca="false">IFERROR(__xludf.dummyfunction("GOOGLETRANSLATE(B1279,""en"",""ar"")"),"بدءا")</f>
        <v>بدءا</v>
      </c>
      <c r="G1279" s="3" t="n">
        <v>0</v>
      </c>
      <c r="H1279" s="3" t="n">
        <v>0</v>
      </c>
    </row>
    <row r="1280" customFormat="false" ht="14.25" hidden="false" customHeight="true" outlineLevel="0" collapsed="false">
      <c r="A1280" s="1"/>
      <c r="B1280" s="1" t="s">
        <v>1408</v>
      </c>
      <c r="C1280" s="1" t="n">
        <v>9</v>
      </c>
      <c r="E1280" s="11" t="s">
        <v>235</v>
      </c>
      <c r="F1280" s="11" t="str">
        <f aca="false">IFERROR(__xludf.dummyfunction("GOOGLETRANSLATE(B1280,""en"",""ar"")"),"داخلي")</f>
        <v>داخلي</v>
      </c>
      <c r="G1280" s="3" t="n">
        <v>0</v>
      </c>
      <c r="H1280" s="3" t="n">
        <v>0</v>
      </c>
    </row>
    <row r="1281" customFormat="false" ht="14.25" hidden="false" customHeight="true" outlineLevel="0" collapsed="false">
      <c r="A1281" s="1"/>
      <c r="B1281" s="1" t="s">
        <v>1409</v>
      </c>
      <c r="C1281" s="1" t="n">
        <v>9</v>
      </c>
      <c r="E1281" s="11" t="s">
        <v>94</v>
      </c>
      <c r="F1281" s="11" t="str">
        <f aca="false">IFERROR(__xludf.dummyfunction("GOOGLETRANSLATE(B1281,""en"",""ar"")"),"انضم")</f>
        <v>انضم</v>
      </c>
      <c r="G1281" s="3" t="n">
        <v>0</v>
      </c>
      <c r="H1281" s="3" t="n">
        <v>0</v>
      </c>
    </row>
    <row r="1282" customFormat="false" ht="14.25" hidden="false" customHeight="true" outlineLevel="0" collapsed="false">
      <c r="A1282" s="1"/>
      <c r="B1282" s="1" t="s">
        <v>1410</v>
      </c>
      <c r="C1282" s="1" t="n">
        <v>9</v>
      </c>
      <c r="E1282" s="11" t="s">
        <v>1205</v>
      </c>
      <c r="F1282" s="11" t="str">
        <f aca="false">IFERROR(__xludf.dummyfunction("GOOGLETRANSLATE(B1282,""en"",""ar"")"),"قتل")</f>
        <v>قتل</v>
      </c>
      <c r="G1282" s="3" t="n">
        <v>0</v>
      </c>
      <c r="H1282" s="3" t="n">
        <v>0</v>
      </c>
    </row>
    <row r="1283" customFormat="false" ht="14.25" hidden="false" customHeight="true" outlineLevel="0" collapsed="false">
      <c r="A1283" s="1"/>
      <c r="B1283" s="1" t="s">
        <v>1411</v>
      </c>
      <c r="C1283" s="1" t="n">
        <v>9</v>
      </c>
      <c r="E1283" s="11" t="s">
        <v>42</v>
      </c>
      <c r="F1283" s="11" t="str">
        <f aca="false">IFERROR(__xludf.dummyfunction("GOOGLETRANSLATE(B1283,""en"",""ar"")"),"حرفيا")</f>
        <v>حرفيا</v>
      </c>
      <c r="G1283" s="3" t="n">
        <v>0</v>
      </c>
      <c r="H1283" s="3" t="n">
        <v>0</v>
      </c>
    </row>
    <row r="1284" customFormat="false" ht="14.25" hidden="false" customHeight="true" outlineLevel="0" collapsed="false">
      <c r="A1284" s="1"/>
      <c r="B1284" s="1" t="s">
        <v>1412</v>
      </c>
      <c r="C1284" s="1" t="n">
        <v>9</v>
      </c>
      <c r="E1284" s="11" t="s">
        <v>79</v>
      </c>
      <c r="F1284" s="11" t="str">
        <f aca="false">IFERROR(__xludf.dummyfunction("GOOGLETRANSLATE(B1284,""en"",""ar"")"),"خسارة")</f>
        <v>خسارة</v>
      </c>
      <c r="G1284" s="3" t="n">
        <v>0</v>
      </c>
      <c r="H1284" s="3" t="n">
        <v>0</v>
      </c>
    </row>
    <row r="1285" customFormat="false" ht="14.25" hidden="false" customHeight="true" outlineLevel="0" collapsed="false">
      <c r="A1285" s="1"/>
      <c r="B1285" s="1" t="s">
        <v>1413</v>
      </c>
      <c r="C1285" s="1" t="n">
        <v>9</v>
      </c>
      <c r="E1285" s="11" t="s">
        <v>42</v>
      </c>
      <c r="F1285" s="11" t="str">
        <f aca="false">IFERROR(__xludf.dummyfunction("GOOGLETRANSLATE(B1285,""en"",""ar"")"),"في الأساس")</f>
        <v>في الأساس</v>
      </c>
      <c r="G1285" s="3" t="n">
        <v>0</v>
      </c>
      <c r="H1285" s="3" t="n">
        <v>0</v>
      </c>
    </row>
    <row r="1286" customFormat="false" ht="14.25" hidden="false" customHeight="true" outlineLevel="0" collapsed="false">
      <c r="A1286" s="1"/>
      <c r="B1286" s="1" t="s">
        <v>1414</v>
      </c>
      <c r="C1286" s="1" t="n">
        <v>9</v>
      </c>
      <c r="E1286" s="11" t="s">
        <v>79</v>
      </c>
      <c r="F1286" s="11" t="str">
        <f aca="false">IFERROR(__xludf.dummyfunction("GOOGLETRANSLATE(B1286,""en"",""ar"")"),"عضوية")</f>
        <v>عضوية</v>
      </c>
      <c r="G1286" s="3" t="n">
        <v>0</v>
      </c>
      <c r="H1286" s="3" t="n">
        <v>0</v>
      </c>
    </row>
    <row r="1287" customFormat="false" ht="14.25" hidden="false" customHeight="true" outlineLevel="0" collapsed="false">
      <c r="A1287" s="1"/>
      <c r="B1287" s="1" t="s">
        <v>1415</v>
      </c>
      <c r="C1287" s="1" t="n">
        <v>9</v>
      </c>
      <c r="E1287" s="11" t="s">
        <v>42</v>
      </c>
      <c r="F1287" s="11" t="str">
        <f aca="false">IFERROR(__xludf.dummyfunction("GOOGLETRANSLATE(B1287,""en"",""ar"")"),"مجرد")</f>
        <v>مجرد</v>
      </c>
      <c r="G1287" s="3" t="n">
        <v>0</v>
      </c>
      <c r="H1287" s="3" t="n">
        <v>0</v>
      </c>
    </row>
    <row r="1288" customFormat="false" ht="14.25" hidden="false" customHeight="true" outlineLevel="0" collapsed="false">
      <c r="A1288" s="1" t="n">
        <v>4</v>
      </c>
      <c r="B1288" s="1" t="s">
        <v>1416</v>
      </c>
      <c r="C1288" s="1" t="n">
        <v>9</v>
      </c>
      <c r="E1288" s="11" t="s">
        <v>148</v>
      </c>
      <c r="F1288" s="11" t="str">
        <f aca="false">IFERROR(__xludf.dummyfunction("GOOGLETRANSLATE(B1288,""en"",""ar"")"),"الحد الأدنى")</f>
        <v>الحد الأدنى</v>
      </c>
      <c r="G1288" s="3" t="n">
        <v>0</v>
      </c>
      <c r="H1288" s="3" t="n">
        <v>0</v>
      </c>
    </row>
    <row r="1289" customFormat="false" ht="14.25" hidden="false" customHeight="true" outlineLevel="0" collapsed="false">
      <c r="A1289" s="1"/>
      <c r="B1289" s="1" t="s">
        <v>1417</v>
      </c>
      <c r="C1289" s="1" t="n">
        <v>9</v>
      </c>
      <c r="E1289" s="11" t="s">
        <v>112</v>
      </c>
      <c r="F1289" s="11" t="str">
        <f aca="false">IFERROR(__xludf.dummyfunction("GOOGLETRANSLATE(B1289,""en"",""ar"")"),"عديد")</f>
        <v>عديد</v>
      </c>
      <c r="G1289" s="3" t="n">
        <v>0</v>
      </c>
      <c r="H1289" s="3" t="n">
        <v>0</v>
      </c>
    </row>
    <row r="1290" customFormat="false" ht="14.25" hidden="false" customHeight="true" outlineLevel="0" collapsed="false">
      <c r="A1290" s="1"/>
      <c r="B1290" s="1" t="s">
        <v>1418</v>
      </c>
      <c r="C1290" s="1" t="n">
        <v>9</v>
      </c>
      <c r="E1290" s="11" t="s">
        <v>1304</v>
      </c>
      <c r="F1290" s="11" t="str">
        <f aca="false">IFERROR(__xludf.dummyfunction("GOOGLETRANSLATE(B1290,""en"",""ar"")"),"طريق")</f>
        <v>طريق</v>
      </c>
      <c r="G1290" s="3" t="n">
        <v>0</v>
      </c>
      <c r="H1290" s="3" t="n">
        <v>0</v>
      </c>
    </row>
    <row r="1291" customFormat="false" ht="14.25" hidden="false" customHeight="true" outlineLevel="0" collapsed="false">
      <c r="A1291" s="1"/>
      <c r="B1291" s="1" t="s">
        <v>1419</v>
      </c>
      <c r="C1291" s="1" t="n">
        <v>9</v>
      </c>
      <c r="E1291" s="11" t="s">
        <v>79</v>
      </c>
      <c r="F1291" s="11" t="str">
        <f aca="false">IFERROR(__xludf.dummyfunction("GOOGLETRANSLATE(B1291,""en"",""ar"")"),"حيازة")</f>
        <v>حيازة</v>
      </c>
      <c r="G1291" s="3" t="n">
        <v>0</v>
      </c>
      <c r="H1291" s="3" t="n">
        <v>0</v>
      </c>
    </row>
    <row r="1292" customFormat="false" ht="14.25" hidden="false" customHeight="true" outlineLevel="0" collapsed="false">
      <c r="A1292" s="1"/>
      <c r="B1292" s="1" t="s">
        <v>1420</v>
      </c>
      <c r="C1292" s="1" t="n">
        <v>9</v>
      </c>
      <c r="E1292" s="11" t="s">
        <v>79</v>
      </c>
      <c r="F1292" s="11" t="str">
        <f aca="false">IFERROR(__xludf.dummyfunction("GOOGLETRANSLATE(B1292,""en"",""ar"")"),"تحضير")</f>
        <v>تحضير</v>
      </c>
      <c r="G1292" s="3" t="n">
        <v>0</v>
      </c>
      <c r="H1292" s="3" t="n">
        <v>0</v>
      </c>
    </row>
    <row r="1293" customFormat="false" ht="14.25" hidden="false" customHeight="true" outlineLevel="0" collapsed="false">
      <c r="A1293" s="1"/>
      <c r="B1293" s="1" t="s">
        <v>1421</v>
      </c>
      <c r="C1293" s="1" t="n">
        <v>9</v>
      </c>
      <c r="E1293" s="11" t="s">
        <v>1210</v>
      </c>
      <c r="F1293" s="11" t="str">
        <f aca="false">IFERROR(__xludf.dummyfunction("GOOGLETRANSLATE(B1293,""en"",""ar"")"),"تقدم")</f>
        <v>تقدم</v>
      </c>
      <c r="G1293" s="3" t="n">
        <v>0</v>
      </c>
      <c r="H1293" s="3" t="n">
        <v>0</v>
      </c>
    </row>
    <row r="1294" customFormat="false" ht="14.25" hidden="false" customHeight="true" outlineLevel="0" collapsed="false">
      <c r="A1294" s="1"/>
      <c r="B1294" s="1" t="s">
        <v>1422</v>
      </c>
      <c r="C1294" s="1" t="n">
        <v>9</v>
      </c>
      <c r="E1294" s="11" t="s">
        <v>119</v>
      </c>
      <c r="F1294" s="11" t="str">
        <f aca="false">IFERROR(__xludf.dummyfunction("GOOGLETRANSLATE(B1294,""en"",""ar"")"),"المشروع")</f>
        <v>المشروع</v>
      </c>
      <c r="G1294" s="3" t="n">
        <v>0</v>
      </c>
      <c r="H1294" s="3" t="n">
        <v>0</v>
      </c>
    </row>
    <row r="1295" customFormat="false" ht="14.25" hidden="false" customHeight="true" outlineLevel="0" collapsed="false">
      <c r="A1295" s="1"/>
      <c r="B1295" s="1" t="s">
        <v>1423</v>
      </c>
      <c r="C1295" s="1" t="n">
        <v>9</v>
      </c>
      <c r="E1295" s="11" t="s">
        <v>12</v>
      </c>
      <c r="F1295" s="11" t="str">
        <f aca="false">IFERROR(__xludf.dummyfunction("GOOGLETRANSLATE(B1295,""en"",""ar"")"),"إثبات")</f>
        <v>إثبات</v>
      </c>
      <c r="G1295" s="3" t="n">
        <v>0</v>
      </c>
      <c r="H1295" s="3" t="n">
        <v>0</v>
      </c>
    </row>
    <row r="1296" customFormat="false" ht="14.25" hidden="false" customHeight="true" outlineLevel="0" collapsed="false">
      <c r="A1296" s="1"/>
      <c r="B1296" s="1" t="s">
        <v>1424</v>
      </c>
      <c r="C1296" s="1" t="n">
        <v>9</v>
      </c>
      <c r="E1296" s="11" t="s">
        <v>12</v>
      </c>
      <c r="F1296" s="11" t="str">
        <f aca="false">IFERROR(__xludf.dummyfunction("GOOGLETRANSLATE(B1296,""en"",""ar"")"),"تتفاعل")</f>
        <v>تتفاعل</v>
      </c>
      <c r="G1296" s="3" t="n">
        <v>0</v>
      </c>
      <c r="H1296" s="3" t="n">
        <v>0</v>
      </c>
    </row>
    <row r="1297" customFormat="false" ht="14.25" hidden="false" customHeight="true" outlineLevel="0" collapsed="false">
      <c r="A1297" s="1"/>
      <c r="B1297" s="1" t="s">
        <v>1425</v>
      </c>
      <c r="C1297" s="1" t="n">
        <v>9</v>
      </c>
      <c r="E1297" s="11" t="s">
        <v>12</v>
      </c>
      <c r="F1297" s="11" t="str">
        <f aca="false">IFERROR(__xludf.dummyfunction("GOOGLETRANSLATE(B1297,""en"",""ar"")"),"تعرف")</f>
        <v>تعرف</v>
      </c>
      <c r="G1297" s="3" t="n">
        <v>0</v>
      </c>
      <c r="H1297" s="3" t="n">
        <v>0</v>
      </c>
    </row>
    <row r="1298" customFormat="false" ht="14.25" hidden="false" customHeight="true" outlineLevel="0" collapsed="false">
      <c r="A1298" s="1"/>
      <c r="B1298" s="1" t="s">
        <v>1426</v>
      </c>
      <c r="C1298" s="1" t="n">
        <v>9</v>
      </c>
      <c r="E1298" s="11" t="s">
        <v>12</v>
      </c>
      <c r="F1298" s="11" t="str">
        <f aca="false">IFERROR(__xludf.dummyfunction("GOOGLETRANSLATE(B1298,""en"",""ar"")"),"يستريح")</f>
        <v>يستريح</v>
      </c>
      <c r="G1298" s="3" t="n">
        <v>0</v>
      </c>
      <c r="H1298" s="3" t="n">
        <v>0</v>
      </c>
    </row>
    <row r="1299" customFormat="false" ht="14.25" hidden="false" customHeight="true" outlineLevel="0" collapsed="false">
      <c r="A1299" s="1"/>
      <c r="B1299" s="1" t="s">
        <v>1427</v>
      </c>
      <c r="C1299" s="1" t="n">
        <v>9</v>
      </c>
      <c r="E1299" s="11" t="s">
        <v>12</v>
      </c>
      <c r="F1299" s="11" t="str">
        <f aca="false">IFERROR(__xludf.dummyfunction("GOOGLETRANSLATE(B1299,""en"",""ar"")"),"يستبدل")</f>
        <v>يستبدل</v>
      </c>
      <c r="G1299" s="3" t="n">
        <v>0</v>
      </c>
      <c r="H1299" s="3" t="n">
        <v>0</v>
      </c>
    </row>
    <row r="1300" customFormat="false" ht="14.25" hidden="false" customHeight="true" outlineLevel="0" collapsed="false">
      <c r="A1300" s="1"/>
      <c r="B1300" s="1" t="s">
        <v>1428</v>
      </c>
      <c r="C1300" s="1" t="n">
        <v>9</v>
      </c>
      <c r="E1300" s="11" t="s">
        <v>1297</v>
      </c>
      <c r="F1300" s="11" t="str">
        <f aca="false">IFERROR(__xludf.dummyfunction("GOOGLETRANSLATE(B1300,""en"",""ar"")"),"لحر")</f>
        <v>لحر</v>
      </c>
      <c r="G1300" s="3" t="n">
        <v>0</v>
      </c>
      <c r="H1300" s="3" t="n">
        <v>0</v>
      </c>
    </row>
    <row r="1301" customFormat="false" ht="14.25" hidden="false" customHeight="true" outlineLevel="0" collapsed="false">
      <c r="A1301" s="1"/>
      <c r="B1301" s="1" t="s">
        <v>1429</v>
      </c>
      <c r="C1301" s="1" t="n">
        <v>9</v>
      </c>
      <c r="E1301" s="11" t="s">
        <v>235</v>
      </c>
      <c r="F1301" s="11" t="str">
        <f aca="false">IFERROR(__xludf.dummyfunction("GOOGLETRANSLATE(B1301,""en"",""ar"")"),"حساس")</f>
        <v>حساس</v>
      </c>
      <c r="G1301" s="3" t="n">
        <v>0</v>
      </c>
      <c r="H1301" s="3" t="n">
        <v>0</v>
      </c>
    </row>
    <row r="1302" customFormat="false" ht="14.25" hidden="false" customHeight="true" outlineLevel="0" collapsed="false">
      <c r="A1302" s="1"/>
      <c r="B1302" s="1" t="s">
        <v>1430</v>
      </c>
      <c r="C1302" s="1" t="n">
        <v>9</v>
      </c>
      <c r="E1302" s="11" t="s">
        <v>1262</v>
      </c>
      <c r="F1302" s="11" t="str">
        <f aca="false">IFERROR(__xludf.dummyfunction("GOOGLETRANSLATE(B1302,""en"",""ar"")"),"يجلس")</f>
        <v>يجلس</v>
      </c>
      <c r="G1302" s="3" t="n">
        <v>0</v>
      </c>
      <c r="H1302" s="3" t="n">
        <v>0</v>
      </c>
    </row>
    <row r="1303" customFormat="false" ht="14.25" hidden="false" customHeight="true" outlineLevel="0" collapsed="false">
      <c r="A1303" s="1"/>
      <c r="B1303" s="1" t="s">
        <v>1431</v>
      </c>
      <c r="C1303" s="1" t="n">
        <v>9</v>
      </c>
      <c r="E1303" s="11" t="s">
        <v>308</v>
      </c>
      <c r="F1303" s="11" t="str">
        <f aca="false">IFERROR(__xludf.dummyfunction("GOOGLETRANSLATE(B1303,""en"",""ar"")"),"جنوب")</f>
        <v>جنوب</v>
      </c>
      <c r="G1303" s="3" t="n">
        <v>0</v>
      </c>
      <c r="H1303" s="3" t="n">
        <v>0</v>
      </c>
    </row>
    <row r="1304" customFormat="false" ht="14.25" hidden="false" customHeight="true" outlineLevel="0" collapsed="false">
      <c r="A1304" s="1"/>
      <c r="B1304" s="1" t="s">
        <v>1432</v>
      </c>
      <c r="C1304" s="1" t="n">
        <v>9</v>
      </c>
      <c r="E1304" s="11" t="s">
        <v>148</v>
      </c>
      <c r="F1304" s="11" t="str">
        <f aca="false">IFERROR(__xludf.dummyfunction("GOOGLETRANSLATE(B1304,""en"",""ar"")"),"الحالة")</f>
        <v>الحالة</v>
      </c>
      <c r="G1304" s="3" t="n">
        <v>0</v>
      </c>
      <c r="H1304" s="3" t="n">
        <v>0</v>
      </c>
    </row>
    <row r="1305" customFormat="false" ht="14.25" hidden="false" customHeight="true" outlineLevel="0" collapsed="false">
      <c r="A1305" s="1"/>
      <c r="B1305" s="1" t="s">
        <v>1433</v>
      </c>
      <c r="C1305" s="1" t="n">
        <v>9</v>
      </c>
      <c r="E1305" s="11" t="s">
        <v>79</v>
      </c>
      <c r="F1305" s="11" t="str">
        <f aca="false">IFERROR(__xludf.dummyfunction("GOOGLETRANSLATE(B1305,""en"",""ar"")"),"شريحة لحم")</f>
        <v>شريحة لحم</v>
      </c>
      <c r="G1305" s="3" t="n">
        <v>0</v>
      </c>
      <c r="H1305" s="3" t="n">
        <v>0</v>
      </c>
    </row>
    <row r="1306" customFormat="false" ht="3.75" hidden="false" customHeight="true" outlineLevel="0" collapsed="false">
      <c r="A1306" s="1"/>
      <c r="B1306" s="1" t="s">
        <v>1434</v>
      </c>
      <c r="C1306" s="1" t="n">
        <v>9</v>
      </c>
      <c r="E1306" s="11" t="s">
        <v>119</v>
      </c>
      <c r="F1306" s="11" t="str">
        <f aca="false">IFERROR(__xludf.dummyfunction("GOOGLETRANSLATE(B1306,""en"",""ar"")"),"أشياء")</f>
        <v>أشياء</v>
      </c>
      <c r="G1306" s="3" t="n">
        <v>0</v>
      </c>
      <c r="H1306" s="3" t="n">
        <v>0</v>
      </c>
    </row>
    <row r="1307" customFormat="false" ht="14.25" hidden="false" customHeight="true" outlineLevel="0" collapsed="false">
      <c r="A1307" s="1"/>
      <c r="B1307" s="1" t="s">
        <v>1435</v>
      </c>
      <c r="C1307" s="1" t="n">
        <v>9</v>
      </c>
      <c r="E1307" s="11" t="s">
        <v>112</v>
      </c>
      <c r="F1307" s="11" t="str">
        <f aca="false">IFERROR(__xludf.dummyfunction("GOOGLETRANSLATE(B1307,""en"",""ar"")"),"كاف")</f>
        <v>كاف</v>
      </c>
      <c r="G1307" s="3" t="n">
        <v>0</v>
      </c>
      <c r="H1307" s="3" t="n">
        <v>0</v>
      </c>
    </row>
    <row r="1308" customFormat="false" ht="14.25" hidden="false" customHeight="true" outlineLevel="0" collapsed="false">
      <c r="A1308" s="1"/>
      <c r="B1308" s="1" t="s">
        <v>1436</v>
      </c>
      <c r="C1308" s="1" t="n">
        <v>9</v>
      </c>
      <c r="E1308" s="11" t="s">
        <v>94</v>
      </c>
      <c r="F1308" s="11" t="str">
        <f aca="false">IFERROR(__xludf.dummyfunction("GOOGLETRANSLATE(B1308,""en"",""ar"")"),"صنبور")</f>
        <v>صنبور</v>
      </c>
      <c r="G1308" s="3" t="n">
        <v>0</v>
      </c>
      <c r="H1308" s="3" t="n">
        <v>0</v>
      </c>
    </row>
    <row r="1309" customFormat="false" ht="14.25" hidden="false" customHeight="true" outlineLevel="0" collapsed="false">
      <c r="A1309" s="1"/>
      <c r="B1309" s="1" t="s">
        <v>1437</v>
      </c>
      <c r="C1309" s="1" t="n">
        <v>9</v>
      </c>
      <c r="E1309" s="11" t="s">
        <v>1210</v>
      </c>
      <c r="F1309" s="11" t="str">
        <f aca="false">IFERROR(__xludf.dummyfunction("GOOGLETRANSLATE(B1309,""en"",""ar"")"),"تذكرة")</f>
        <v>تذكرة</v>
      </c>
      <c r="G1309" s="3" t="n">
        <v>0</v>
      </c>
      <c r="H1309" s="3" t="n">
        <v>0</v>
      </c>
    </row>
    <row r="1310" customFormat="false" ht="14.25" hidden="false" customHeight="true" outlineLevel="0" collapsed="false">
      <c r="A1310" s="1"/>
      <c r="B1310" s="1" t="s">
        <v>1438</v>
      </c>
      <c r="C1310" s="1" t="n">
        <v>9</v>
      </c>
      <c r="E1310" s="11" t="s">
        <v>119</v>
      </c>
      <c r="F1310" s="11" t="str">
        <f aca="false">IFERROR(__xludf.dummyfunction("GOOGLETRANSLATE(B1310,""en"",""ar"")"),"جولة")</f>
        <v>جولة</v>
      </c>
      <c r="G1310" s="3" t="n">
        <v>0</v>
      </c>
      <c r="H1310" s="3" t="n">
        <v>0</v>
      </c>
    </row>
    <row r="1311" customFormat="false" ht="14.25" hidden="false" customHeight="true" outlineLevel="0" collapsed="false">
      <c r="A1311" s="1"/>
      <c r="B1311" s="1" t="s">
        <v>1439</v>
      </c>
      <c r="C1311" s="1" t="n">
        <v>9</v>
      </c>
      <c r="E1311" s="11" t="s">
        <v>79</v>
      </c>
      <c r="F1311" s="11" t="str">
        <f aca="false">IFERROR(__xludf.dummyfunction("GOOGLETRANSLATE(B1311,""en"",""ar"")"),"اتحاد")</f>
        <v>اتحاد</v>
      </c>
      <c r="G1311" s="3" t="n">
        <v>0</v>
      </c>
      <c r="H1311" s="3" t="n">
        <v>0</v>
      </c>
    </row>
    <row r="1312" customFormat="false" ht="14.25" hidden="false" customHeight="true" outlineLevel="0" collapsed="false">
      <c r="A1312" s="1"/>
      <c r="B1312" s="1" t="s">
        <v>1440</v>
      </c>
      <c r="C1312" s="1" t="n">
        <v>9</v>
      </c>
      <c r="E1312" s="11" t="s">
        <v>112</v>
      </c>
      <c r="F1312" s="11" t="str">
        <f aca="false">IFERROR(__xludf.dummyfunction("GOOGLETRANSLATE(B1312,""en"",""ar"")"),"غير عادي")</f>
        <v>غير عادي</v>
      </c>
      <c r="G1312" s="3" t="n">
        <v>0</v>
      </c>
      <c r="H1312" s="3" t="n">
        <v>0</v>
      </c>
    </row>
    <row r="1313" customFormat="false" ht="14.25" hidden="false" customHeight="true" outlineLevel="0" collapsed="false">
      <c r="A1313" s="1"/>
      <c r="B1313" s="1" t="s">
        <v>1441</v>
      </c>
      <c r="C1313" s="1" t="n">
        <v>9</v>
      </c>
      <c r="E1313" s="11" t="s">
        <v>94</v>
      </c>
      <c r="F1313" s="11" t="str">
        <f aca="false">IFERROR(__xludf.dummyfunction("GOOGLETRANSLATE(B1313,""en"",""ar"")"),"ينتصر")</f>
        <v>ينتصر</v>
      </c>
      <c r="G1313" s="3" t="n">
        <v>0</v>
      </c>
      <c r="H1313" s="3" t="n">
        <v>0</v>
      </c>
    </row>
    <row r="1314" customFormat="false" ht="14.25" hidden="false" customHeight="true" outlineLevel="0" collapsed="false">
      <c r="A1314" s="1"/>
      <c r="B1314" s="1" t="s">
        <v>1442</v>
      </c>
      <c r="C1314" s="1" t="n">
        <v>8</v>
      </c>
      <c r="E1314" s="11" t="s">
        <v>79</v>
      </c>
      <c r="F1314" s="11" t="str">
        <f aca="false">IFERROR(__xludf.dummyfunction("GOOGLETRANSLATE(B1314,""en"",""ar"")"),"اتفاق")</f>
        <v>اتفاق</v>
      </c>
      <c r="G1314" s="3" t="n">
        <v>0</v>
      </c>
      <c r="H1314" s="3" t="n">
        <v>0</v>
      </c>
    </row>
    <row r="1315" customFormat="false" ht="14.25" hidden="false" customHeight="true" outlineLevel="0" collapsed="false">
      <c r="A1315" s="1"/>
      <c r="B1315" s="1" t="s">
        <v>1443</v>
      </c>
      <c r="C1315" s="1" t="n">
        <v>8</v>
      </c>
      <c r="E1315" s="11" t="s">
        <v>119</v>
      </c>
      <c r="F1315" s="11" t="str">
        <f aca="false">IFERROR(__xludf.dummyfunction("GOOGLETRANSLATE(B1315,""en"",""ar"")"),"زاوية")</f>
        <v>زاوية</v>
      </c>
      <c r="G1315" s="3" t="n">
        <v>0</v>
      </c>
      <c r="H1315" s="3" t="n">
        <v>0</v>
      </c>
    </row>
    <row r="1316" customFormat="false" ht="14.25" hidden="false" customHeight="true" outlineLevel="0" collapsed="false">
      <c r="A1316" s="1"/>
      <c r="B1316" s="1" t="s">
        <v>1444</v>
      </c>
      <c r="C1316" s="1" t="n">
        <v>8</v>
      </c>
      <c r="E1316" s="11" t="s">
        <v>94</v>
      </c>
      <c r="F1316" s="11" t="str">
        <f aca="false">IFERROR(__xludf.dummyfunction("GOOGLETRANSLATE(B1316,""en"",""ar"")"),"هجوم")</f>
        <v>هجوم</v>
      </c>
      <c r="G1316" s="3" t="n">
        <v>0</v>
      </c>
      <c r="H1316" s="3" t="n">
        <v>0</v>
      </c>
    </row>
    <row r="1317" customFormat="false" ht="14.25" hidden="false" customHeight="true" outlineLevel="0" collapsed="false">
      <c r="A1317" s="1"/>
      <c r="B1317" s="1" t="s">
        <v>1445</v>
      </c>
      <c r="C1317" s="1" t="n">
        <v>8</v>
      </c>
      <c r="E1317" s="11" t="s">
        <v>128</v>
      </c>
      <c r="F1317" s="11" t="str">
        <f aca="false">IFERROR(__xludf.dummyfunction("GOOGLETRANSLATE(B1317,""en"",""ar"")"),"أزرق")</f>
        <v>أزرق</v>
      </c>
      <c r="G1317" s="3" t="n">
        <v>0</v>
      </c>
      <c r="H1317" s="3" t="n">
        <v>0</v>
      </c>
    </row>
    <row r="1318" customFormat="false" ht="14.25" hidden="false" customHeight="true" outlineLevel="0" collapsed="false">
      <c r="A1318" s="1"/>
      <c r="B1318" s="1" t="s">
        <v>1446</v>
      </c>
      <c r="C1318" s="1" t="n">
        <v>8</v>
      </c>
      <c r="E1318" s="11" t="s">
        <v>12</v>
      </c>
      <c r="F1318" s="11" t="str">
        <f aca="false">IFERROR(__xludf.dummyfunction("GOOGLETRANSLATE(B1318,""en"",""ar"")"),"يستعير")</f>
        <v>يستعير</v>
      </c>
      <c r="G1318" s="3" t="n">
        <v>0</v>
      </c>
      <c r="H1318" s="3" t="n">
        <v>0</v>
      </c>
    </row>
    <row r="1319" customFormat="false" ht="14.25" hidden="false" customHeight="true" outlineLevel="0" collapsed="false">
      <c r="A1319" s="1"/>
      <c r="B1319" s="1" t="s">
        <v>1447</v>
      </c>
      <c r="C1319" s="1" t="n">
        <v>8</v>
      </c>
      <c r="E1319" s="11" t="s">
        <v>119</v>
      </c>
      <c r="F1319" s="11" t="str">
        <f aca="false">IFERROR(__xludf.dummyfunction("GOOGLETRANSLATE(B1319,""en"",""ar"")"),"وجبة افطار")</f>
        <v>وجبة افطار</v>
      </c>
      <c r="G1319" s="3" t="n">
        <v>0</v>
      </c>
      <c r="H1319" s="3" t="n">
        <v>0</v>
      </c>
    </row>
    <row r="1320" customFormat="false" ht="14.25" hidden="false" customHeight="true" outlineLevel="0" collapsed="false">
      <c r="A1320" s="1"/>
      <c r="B1320" s="1" t="s">
        <v>1448</v>
      </c>
      <c r="C1320" s="1" t="n">
        <v>8</v>
      </c>
      <c r="E1320" s="11" t="s">
        <v>79</v>
      </c>
      <c r="F1320" s="11" t="str">
        <f aca="false">IFERROR(__xludf.dummyfunction("GOOGLETRANSLATE(B1320,""en"",""ar"")"),"سرطان")</f>
        <v>سرطان</v>
      </c>
      <c r="G1320" s="3" t="n">
        <v>0</v>
      </c>
      <c r="H1320" s="3" t="n">
        <v>0</v>
      </c>
    </row>
    <row r="1321" customFormat="false" ht="14.25" hidden="false" customHeight="true" outlineLevel="0" collapsed="false">
      <c r="A1321" s="1"/>
      <c r="B1321" s="1" t="s">
        <v>1449</v>
      </c>
      <c r="C1321" s="1" t="n">
        <v>8</v>
      </c>
      <c r="E1321" s="11" t="s">
        <v>94</v>
      </c>
      <c r="F1321" s="11" t="str">
        <f aca="false">IFERROR(__xludf.dummyfunction("GOOGLETRANSLATE(B1321,""en"",""ar"")"),"مطالبة")</f>
        <v>مطالبة</v>
      </c>
      <c r="G1321" s="3" t="n">
        <v>0</v>
      </c>
      <c r="H1321" s="3" t="n">
        <v>0</v>
      </c>
    </row>
    <row r="1322" customFormat="false" ht="14.25" hidden="false" customHeight="true" outlineLevel="0" collapsed="false">
      <c r="A1322" s="1"/>
      <c r="B1322" s="1" t="s">
        <v>1450</v>
      </c>
      <c r="C1322" s="1" t="n">
        <v>8</v>
      </c>
      <c r="E1322" s="11" t="s">
        <v>1304</v>
      </c>
      <c r="F1322" s="11" t="str">
        <f aca="false">IFERROR(__xludf.dummyfunction("GOOGLETRANSLATE(B1322,""en"",""ar"")"),"الثقة")</f>
        <v>الثقة</v>
      </c>
      <c r="G1322" s="3" t="n">
        <v>0</v>
      </c>
      <c r="H1322" s="3" t="n">
        <v>0</v>
      </c>
    </row>
    <row r="1323" customFormat="false" ht="14.25" hidden="false" customHeight="true" outlineLevel="0" collapsed="false">
      <c r="A1323" s="1"/>
      <c r="B1323" s="1" t="s">
        <v>1451</v>
      </c>
      <c r="C1323" s="1" t="n">
        <v>8</v>
      </c>
      <c r="E1323" s="11" t="s">
        <v>112</v>
      </c>
      <c r="F1323" s="11" t="str">
        <f aca="false">IFERROR(__xludf.dummyfunction("GOOGLETRANSLATE(B1323,""en"",""ar"")"),"ثابتة")</f>
        <v>ثابتة</v>
      </c>
      <c r="G1323" s="3" t="n">
        <v>0</v>
      </c>
      <c r="H1323" s="3" t="n">
        <v>0</v>
      </c>
    </row>
    <row r="1324" customFormat="false" ht="14.25" hidden="false" customHeight="true" outlineLevel="0" collapsed="false">
      <c r="A1324" s="1"/>
      <c r="B1324" s="1" t="s">
        <v>1452</v>
      </c>
      <c r="C1324" s="1" t="n">
        <v>8</v>
      </c>
      <c r="E1324" s="11" t="s">
        <v>235</v>
      </c>
      <c r="F1324" s="11" t="str">
        <f aca="false">IFERROR(__xludf.dummyfunction("GOOGLETRANSLATE(B1324,""en"",""ar"")"),"ثابت")</f>
        <v>ثابت</v>
      </c>
      <c r="G1324" s="3" t="n">
        <v>0</v>
      </c>
      <c r="H1324" s="3" t="n">
        <v>0</v>
      </c>
    </row>
    <row r="1325" customFormat="false" ht="14.25" hidden="false" customHeight="true" outlineLevel="0" collapsed="false">
      <c r="A1325" s="1"/>
      <c r="B1325" s="1" t="s">
        <v>1453</v>
      </c>
      <c r="C1325" s="1" t="n">
        <v>8</v>
      </c>
      <c r="E1325" s="11" t="s">
        <v>112</v>
      </c>
      <c r="F1325" s="11" t="str">
        <f aca="false">IFERROR(__xludf.dummyfunction("GOOGLETRANSLATE(B1325,""en"",""ar"")"),"ثقافي")</f>
        <v>ثقافي</v>
      </c>
      <c r="G1325" s="3" t="n">
        <v>0</v>
      </c>
      <c r="H1325" s="3" t="n">
        <v>0</v>
      </c>
    </row>
    <row r="1326" customFormat="false" ht="14.25" hidden="false" customHeight="true" outlineLevel="0" collapsed="false">
      <c r="A1326" s="1"/>
      <c r="B1326" s="1" t="s">
        <v>1454</v>
      </c>
      <c r="C1326" s="1" t="n">
        <v>8</v>
      </c>
      <c r="E1326" s="11" t="s">
        <v>79</v>
      </c>
      <c r="F1326" s="11" t="str">
        <f aca="false">IFERROR(__xludf.dummyfunction("GOOGLETRANSLATE(B1326,""en"",""ar"")"),"عملة")</f>
        <v>عملة</v>
      </c>
      <c r="G1326" s="3" t="n">
        <v>0</v>
      </c>
      <c r="H1326" s="3" t="n">
        <v>0</v>
      </c>
    </row>
    <row r="1327" customFormat="false" ht="14.25" hidden="false" customHeight="true" outlineLevel="0" collapsed="false">
      <c r="A1327" s="1"/>
      <c r="B1327" s="1" t="s">
        <v>1455</v>
      </c>
      <c r="C1327" s="1" t="n">
        <v>8</v>
      </c>
      <c r="E1327" s="11" t="s">
        <v>148</v>
      </c>
      <c r="F1327" s="11" t="str">
        <f aca="false">IFERROR(__xludf.dummyfunction("GOOGLETRANSLATE(B1327,""en"",""ar"")"),"بنت")</f>
        <v>بنت</v>
      </c>
      <c r="G1327" s="3" t="n">
        <v>0</v>
      </c>
      <c r="H1327" s="3" t="n">
        <v>0</v>
      </c>
    </row>
    <row r="1328" customFormat="false" ht="14.25" hidden="false" customHeight="true" outlineLevel="0" collapsed="false">
      <c r="A1328" s="1"/>
      <c r="B1328" s="1" t="s">
        <v>1456</v>
      </c>
      <c r="C1328" s="1" t="n">
        <v>8</v>
      </c>
      <c r="E1328" s="11" t="s">
        <v>1304</v>
      </c>
      <c r="F1328" s="11" t="str">
        <f aca="false">IFERROR(__xludf.dummyfunction("GOOGLETRANSLATE(B1328,""en"",""ar"")"),"الدرجة العلمية")</f>
        <v>الدرجة العلمية</v>
      </c>
      <c r="G1328" s="3" t="n">
        <v>0</v>
      </c>
      <c r="H1328" s="3" t="n">
        <v>0</v>
      </c>
    </row>
    <row r="1329" customFormat="false" ht="14.25" hidden="false" customHeight="true" outlineLevel="0" collapsed="false">
      <c r="A1329" s="1"/>
      <c r="B1329" s="1" t="s">
        <v>1457</v>
      </c>
      <c r="C1329" s="1" t="n">
        <v>8</v>
      </c>
      <c r="E1329" s="11" t="s">
        <v>119</v>
      </c>
      <c r="F1329" s="11" t="str">
        <f aca="false">IFERROR(__xludf.dummyfunction("GOOGLETRANSLATE(B1329,""en"",""ar"")"),"طبيب")</f>
        <v>طبيب</v>
      </c>
      <c r="G1329" s="3" t="n">
        <v>0</v>
      </c>
      <c r="H1329" s="3" t="n">
        <v>0</v>
      </c>
    </row>
    <row r="1330" customFormat="false" ht="14.25" hidden="false" customHeight="true" outlineLevel="0" collapsed="false">
      <c r="A1330" s="1"/>
      <c r="B1330" s="1" t="s">
        <v>1458</v>
      </c>
      <c r="C1330" s="1" t="n">
        <v>8</v>
      </c>
      <c r="E1330" s="11" t="s">
        <v>1210</v>
      </c>
      <c r="F1330" s="11" t="str">
        <f aca="false">IFERROR(__xludf.dummyfunction("GOOGLETRANSLATE(B1330,""en"",""ar"")"),"نقطة")</f>
        <v>نقطة</v>
      </c>
      <c r="G1330" s="3" t="n">
        <v>0</v>
      </c>
      <c r="H1330" s="3" t="n">
        <v>0</v>
      </c>
    </row>
    <row r="1331" customFormat="false" ht="14.25" hidden="false" customHeight="true" outlineLevel="0" collapsed="false">
      <c r="A1331" s="1"/>
      <c r="B1331" s="1" t="s">
        <v>1459</v>
      </c>
      <c r="C1331" s="1" t="n">
        <v>8</v>
      </c>
      <c r="E1331" s="11" t="s">
        <v>1347</v>
      </c>
      <c r="F1331" s="11" t="str">
        <f aca="false">IFERROR(__xludf.dummyfunction("GOOGLETRANSLATE(B1331,""en"",""ar"")"),"يجر")</f>
        <v>يجر</v>
      </c>
      <c r="G1331" s="3" t="n">
        <v>0</v>
      </c>
      <c r="H1331" s="3" t="n">
        <v>0</v>
      </c>
    </row>
    <row r="1332" customFormat="false" ht="14.25" hidden="false" customHeight="true" outlineLevel="0" collapsed="false">
      <c r="A1332" s="1"/>
      <c r="B1332" s="1" t="s">
        <v>1460</v>
      </c>
      <c r="C1332" s="1" t="n">
        <v>8</v>
      </c>
      <c r="E1332" s="11" t="s">
        <v>128</v>
      </c>
      <c r="F1332" s="11" t="str">
        <f aca="false">IFERROR(__xludf.dummyfunction("GOOGLETRANSLATE(B1332,""en"",""ar"")"),"حلم")</f>
        <v>حلم</v>
      </c>
      <c r="G1332" s="3" t="n">
        <v>0</v>
      </c>
      <c r="H1332" s="3" t="n">
        <v>0</v>
      </c>
    </row>
    <row r="1333" customFormat="false" ht="14.25" hidden="false" customHeight="true" outlineLevel="0" collapsed="false">
      <c r="A1333" s="1"/>
      <c r="B1333" s="1" t="s">
        <v>1461</v>
      </c>
      <c r="C1333" s="1" t="n">
        <v>8</v>
      </c>
      <c r="E1333" s="11" t="s">
        <v>94</v>
      </c>
      <c r="F1333" s="11" t="str">
        <f aca="false">IFERROR(__xludf.dummyfunction("GOOGLETRANSLATE(B1333,""en"",""ar"")"),"يشرب")</f>
        <v>يشرب</v>
      </c>
      <c r="G1333" s="3" t="n">
        <v>0</v>
      </c>
      <c r="H1333" s="3" t="n">
        <v>0</v>
      </c>
    </row>
    <row r="1334" customFormat="false" ht="14.25" hidden="false" customHeight="true" outlineLevel="0" collapsed="false">
      <c r="A1334" s="1" t="s">
        <v>1462</v>
      </c>
      <c r="B1334" s="1" t="s">
        <v>1463</v>
      </c>
      <c r="C1334" s="1" t="n">
        <v>8</v>
      </c>
      <c r="E1334" s="11" t="s">
        <v>1304</v>
      </c>
      <c r="F1334" s="11" t="str">
        <f aca="false">IFERROR(__xludf.dummyfunction("GOOGLETRANSLATE(B1334,""en"",""ar"")"),"مهمة")</f>
        <v>مهمة</v>
      </c>
      <c r="G1334" s="3" t="n">
        <v>0</v>
      </c>
      <c r="H1334" s="3" t="n">
        <v>0</v>
      </c>
    </row>
    <row r="1335" customFormat="false" ht="14.25" hidden="false" customHeight="true" outlineLevel="0" collapsed="false">
      <c r="A1335" s="1"/>
      <c r="B1335" s="1" t="s">
        <v>1464</v>
      </c>
      <c r="C1335" s="1" t="n">
        <v>8</v>
      </c>
      <c r="E1335" s="11" t="s">
        <v>12</v>
      </c>
      <c r="F1335" s="11" t="str">
        <f aca="false">IFERROR(__xludf.dummyfunction("GOOGLETRANSLATE(B1335,""en"",""ar"")"),"يكسب")</f>
        <v>يكسب</v>
      </c>
      <c r="G1335" s="3" t="n">
        <v>0</v>
      </c>
      <c r="H1335" s="3" t="n">
        <v>0</v>
      </c>
    </row>
    <row r="1336" customFormat="false" ht="14.25" hidden="false" customHeight="true" outlineLevel="0" collapsed="false">
      <c r="A1336" s="1"/>
      <c r="B1336" s="1" t="s">
        <v>1465</v>
      </c>
      <c r="C1336" s="1" t="n">
        <v>8</v>
      </c>
      <c r="E1336" s="11" t="s">
        <v>12</v>
      </c>
      <c r="F1336" s="11" t="str">
        <f aca="false">IFERROR(__xludf.dummyfunction("GOOGLETRANSLATE(B1336,""en"",""ar"")"),"التأكيد على")</f>
        <v>التأكيد على</v>
      </c>
      <c r="G1336" s="3" t="n">
        <v>0</v>
      </c>
      <c r="H1336" s="3" t="n">
        <v>0</v>
      </c>
    </row>
    <row r="1337" customFormat="false" ht="14.25" hidden="false" customHeight="true" outlineLevel="0" collapsed="false">
      <c r="A1337" s="1"/>
      <c r="B1337" s="1" t="s">
        <v>1466</v>
      </c>
      <c r="C1337" s="1" t="n">
        <v>8</v>
      </c>
      <c r="E1337" s="11" t="s">
        <v>79</v>
      </c>
      <c r="F1337" s="11" t="str">
        <f aca="false">IFERROR(__xludf.dummyfunction("GOOGLETRANSLATE(B1337,""en"",""ar"")"),"توظيف")</f>
        <v>توظيف</v>
      </c>
      <c r="G1337" s="3" t="n">
        <v>0</v>
      </c>
      <c r="H1337" s="3" t="n">
        <v>0</v>
      </c>
    </row>
    <row r="1338" customFormat="false" ht="14.25" hidden="false" customHeight="true" outlineLevel="0" collapsed="false">
      <c r="A1338" s="1"/>
      <c r="B1338" s="1" t="s">
        <v>1467</v>
      </c>
      <c r="C1338" s="1" t="n">
        <v>8</v>
      </c>
      <c r="E1338" s="11" t="s">
        <v>12</v>
      </c>
      <c r="F1338" s="11" t="str">
        <f aca="false">IFERROR(__xludf.dummyfunction("GOOGLETRANSLATE(B1338,""en"",""ar"")"),"ممكن")</f>
        <v>ممكن</v>
      </c>
      <c r="G1338" s="3" t="n">
        <v>0</v>
      </c>
      <c r="H1338" s="3" t="n">
        <v>0</v>
      </c>
    </row>
    <row r="1339" customFormat="false" ht="14.25" hidden="false" customHeight="true" outlineLevel="0" collapsed="false">
      <c r="A1339" s="1"/>
      <c r="B1339" s="1" t="s">
        <v>1468</v>
      </c>
      <c r="C1339" s="1" t="n">
        <v>8</v>
      </c>
      <c r="E1339" s="11" t="s">
        <v>79</v>
      </c>
      <c r="F1339" s="11" t="str">
        <f aca="false">IFERROR(__xludf.dummyfunction("GOOGLETRANSLATE(B1339,""en"",""ar"")"),"هندسة")</f>
        <v>هندسة</v>
      </c>
      <c r="G1339" s="3" t="n">
        <v>0</v>
      </c>
      <c r="H1339" s="3" t="n">
        <v>0</v>
      </c>
    </row>
    <row r="1340" customFormat="false" ht="14.25" hidden="false" customHeight="true" outlineLevel="0" collapsed="false">
      <c r="A1340" s="1"/>
      <c r="B1340" s="1" t="s">
        <v>1469</v>
      </c>
      <c r="C1340" s="1" t="n">
        <v>8</v>
      </c>
      <c r="E1340" s="11" t="s">
        <v>79</v>
      </c>
      <c r="F1340" s="11" t="str">
        <f aca="false">IFERROR(__xludf.dummyfunction("GOOGLETRANSLATE(B1340,""en"",""ar"")"),"دخول")</f>
        <v>دخول</v>
      </c>
      <c r="G1340" s="3" t="n">
        <v>0</v>
      </c>
      <c r="H1340" s="3" t="n">
        <v>0</v>
      </c>
    </row>
    <row r="1341" customFormat="false" ht="14.25" hidden="false" customHeight="true" outlineLevel="0" collapsed="false">
      <c r="A1341" s="1"/>
      <c r="B1341" s="1" t="s">
        <v>1470</v>
      </c>
      <c r="C1341" s="1" t="n">
        <v>8</v>
      </c>
      <c r="E1341" s="11" t="s">
        <v>119</v>
      </c>
      <c r="F1341" s="11" t="str">
        <f aca="false">IFERROR(__xludf.dummyfunction("GOOGLETRANSLATE(B1341,""en"",""ar"")"),"مقال")</f>
        <v>مقال</v>
      </c>
      <c r="G1341" s="3" t="n">
        <v>0</v>
      </c>
      <c r="H1341" s="3" t="n">
        <v>0</v>
      </c>
    </row>
    <row r="1342" customFormat="false" ht="14.25" hidden="false" customHeight="true" outlineLevel="0" collapsed="false">
      <c r="A1342" s="1"/>
      <c r="B1342" s="1" t="s">
        <v>1471</v>
      </c>
      <c r="C1342" s="1" t="n">
        <v>8</v>
      </c>
      <c r="E1342" s="11" t="s">
        <v>112</v>
      </c>
      <c r="F1342" s="11" t="str">
        <f aca="false">IFERROR(__xludf.dummyfunction("GOOGLETRANSLATE(B1342,""en"",""ar"")"),"موجود")</f>
        <v>موجود</v>
      </c>
      <c r="G1342" s="3" t="n">
        <v>0</v>
      </c>
      <c r="H1342" s="3" t="n">
        <v>0</v>
      </c>
    </row>
    <row r="1343" customFormat="false" ht="14.25" hidden="false" customHeight="true" outlineLevel="0" collapsed="false">
      <c r="A1343" s="1"/>
      <c r="B1343" s="1" t="s">
        <v>1472</v>
      </c>
      <c r="C1343" s="1" t="n">
        <v>8</v>
      </c>
      <c r="E1343" s="11" t="s">
        <v>112</v>
      </c>
      <c r="F1343" s="11" t="str">
        <f aca="false">IFERROR(__xludf.dummyfunction("GOOGLETRANSLATE(B1343,""en"",""ar"")"),"مشهور")</f>
        <v>مشهور</v>
      </c>
      <c r="G1343" s="3" t="n">
        <v>0</v>
      </c>
      <c r="H1343" s="3" t="n">
        <v>0</v>
      </c>
    </row>
    <row r="1344" customFormat="false" ht="14.25" hidden="false" customHeight="true" outlineLevel="0" collapsed="false">
      <c r="A1344" s="1"/>
      <c r="B1344" s="1" t="s">
        <v>1473</v>
      </c>
      <c r="C1344" s="1" t="n">
        <v>8</v>
      </c>
      <c r="E1344" s="11" t="s">
        <v>119</v>
      </c>
      <c r="F1344" s="11" t="str">
        <f aca="false">IFERROR(__xludf.dummyfunction("GOOGLETRANSLATE(B1344,""en"",""ar"")"),"الآب")</f>
        <v>الآب</v>
      </c>
      <c r="G1344" s="3" t="n">
        <v>0</v>
      </c>
      <c r="H1344" s="3" t="n">
        <v>0</v>
      </c>
    </row>
    <row r="1345" customFormat="false" ht="14.25" hidden="false" customHeight="true" outlineLevel="0" collapsed="false">
      <c r="A1345" s="1"/>
      <c r="B1345" s="1" t="s">
        <v>1474</v>
      </c>
      <c r="C1345" s="1" t="n">
        <v>8</v>
      </c>
      <c r="E1345" s="11" t="s">
        <v>119</v>
      </c>
      <c r="F1345" s="11" t="str">
        <f aca="false">IFERROR(__xludf.dummyfunction("GOOGLETRANSLATE(B1345,""en"",""ar"")"),"مصاريف")</f>
        <v>مصاريف</v>
      </c>
      <c r="G1345" s="3" t="n">
        <v>0</v>
      </c>
      <c r="H1345" s="3" t="n">
        <v>0</v>
      </c>
    </row>
    <row r="1346" customFormat="false" ht="14.25" hidden="false" customHeight="true" outlineLevel="0" collapsed="false">
      <c r="A1346" s="1"/>
      <c r="B1346" s="1" t="s">
        <v>1475</v>
      </c>
      <c r="C1346" s="1" t="n">
        <v>8</v>
      </c>
      <c r="E1346" s="11" t="s">
        <v>119</v>
      </c>
      <c r="F1346" s="11" t="str">
        <f aca="false">IFERROR(__xludf.dummyfunction("GOOGLETRANSLATE(B1346,""en"",""ar"")"),"المالية")</f>
        <v>المالية</v>
      </c>
      <c r="G1346" s="3" t="n">
        <v>0</v>
      </c>
      <c r="H1346" s="3" t="n">
        <v>0</v>
      </c>
    </row>
    <row r="1347" customFormat="false" ht="14.25" hidden="false" customHeight="true" outlineLevel="0" collapsed="false">
      <c r="A1347" s="1"/>
      <c r="B1347" s="1" t="s">
        <v>1476</v>
      </c>
      <c r="C1347" s="1" t="n">
        <v>8</v>
      </c>
      <c r="E1347" s="11" t="s">
        <v>42</v>
      </c>
      <c r="F1347" s="11" t="str">
        <f aca="false">IFERROR(__xludf.dummyfunction("GOOGLETRANSLATE(B1347,""en"",""ar"")"),"بلطف")</f>
        <v>بلطف</v>
      </c>
      <c r="G1347" s="3" t="n">
        <v>0</v>
      </c>
      <c r="H1347" s="3" t="n">
        <v>0</v>
      </c>
    </row>
    <row r="1348" customFormat="false" ht="14.25" hidden="false" customHeight="true" outlineLevel="0" collapsed="false">
      <c r="A1348" s="1"/>
      <c r="B1348" s="1" t="s">
        <v>1477</v>
      </c>
      <c r="C1348" s="1" t="n">
        <v>8</v>
      </c>
      <c r="E1348" s="11" t="s">
        <v>1205</v>
      </c>
      <c r="F1348" s="11" t="str">
        <f aca="false">IFERROR(__xludf.dummyfunction("GOOGLETRANSLATE(B1348,""en"",""ar"")"),"خمن")</f>
        <v>خمن</v>
      </c>
      <c r="G1348" s="3" t="n">
        <v>0</v>
      </c>
      <c r="H1348" s="3" t="n">
        <v>0</v>
      </c>
    </row>
    <row r="1349" customFormat="false" ht="14.25" hidden="false" customHeight="true" outlineLevel="0" collapsed="false">
      <c r="A1349" s="1"/>
      <c r="B1349" s="1" t="s">
        <v>1478</v>
      </c>
      <c r="C1349" s="1" t="n">
        <v>8</v>
      </c>
      <c r="E1349" s="11" t="s">
        <v>42</v>
      </c>
      <c r="F1349" s="11" t="str">
        <f aca="false">IFERROR(__xludf.dummyfunction("GOOGLETRANSLATE(B1349,""en"",""ar"")"),"نأمل")</f>
        <v>نأمل</v>
      </c>
      <c r="G1349" s="3" t="n">
        <v>0</v>
      </c>
      <c r="H1349" s="3" t="n">
        <v>0</v>
      </c>
    </row>
    <row r="1350" customFormat="false" ht="14.25" hidden="false" customHeight="true" outlineLevel="0" collapsed="false">
      <c r="A1350" s="1"/>
      <c r="B1350" s="1" t="s">
        <v>1479</v>
      </c>
      <c r="C1350" s="1" t="n">
        <v>8</v>
      </c>
      <c r="E1350" s="11" t="s">
        <v>1297</v>
      </c>
      <c r="F1350" s="11" t="str">
        <f aca="false">IFERROR(__xludf.dummyfunction("GOOGLETRANSLATE(B1350,""en"",""ar"")"),"ساعة")</f>
        <v>ساعة</v>
      </c>
      <c r="G1350" s="3" t="n">
        <v>0</v>
      </c>
      <c r="H1350" s="3" t="n">
        <v>0</v>
      </c>
    </row>
    <row r="1351" customFormat="false" ht="14.25" hidden="false" customHeight="true" outlineLevel="0" collapsed="false">
      <c r="A1351" s="1"/>
      <c r="B1351" s="1" t="s">
        <v>1480</v>
      </c>
      <c r="C1351" s="1" t="n">
        <v>8</v>
      </c>
      <c r="E1351" s="11" t="s">
        <v>79</v>
      </c>
      <c r="F1351" s="11" t="str">
        <f aca="false">IFERROR(__xludf.dummyfunction("GOOGLETRANSLATE(B1351,""en"",""ar"")"),"تفاعل")</f>
        <v>تفاعل</v>
      </c>
      <c r="G1351" s="3" t="n">
        <v>0</v>
      </c>
      <c r="H1351" s="3" t="n">
        <v>0</v>
      </c>
    </row>
    <row r="1352" customFormat="false" ht="14.25" hidden="false" customHeight="true" outlineLevel="0" collapsed="false">
      <c r="A1352" s="1"/>
      <c r="B1352" s="1" t="s">
        <v>1481</v>
      </c>
      <c r="C1352" s="1" t="n">
        <v>8</v>
      </c>
      <c r="E1352" s="11" t="s">
        <v>1210</v>
      </c>
      <c r="F1352" s="11" t="str">
        <f aca="false">IFERROR(__xludf.dummyfunction("GOOGLETRANSLATE(B1352,""en"",""ar"")"),"عصير")</f>
        <v>عصير</v>
      </c>
      <c r="G1352" s="3" t="n">
        <v>0</v>
      </c>
      <c r="H1352" s="3" t="n">
        <v>0</v>
      </c>
    </row>
    <row r="1353" customFormat="false" ht="14.25" hidden="false" customHeight="true" outlineLevel="0" collapsed="false">
      <c r="A1353" s="1"/>
      <c r="B1353" s="1" t="s">
        <v>1482</v>
      </c>
      <c r="C1353" s="1" t="n">
        <v>8</v>
      </c>
      <c r="E1353" s="11" t="s">
        <v>119</v>
      </c>
      <c r="F1353" s="11" t="str">
        <f aca="false">IFERROR(__xludf.dummyfunction("GOOGLETRANSLATE(B1353,""en"",""ar"")"),"حد")</f>
        <v>حد</v>
      </c>
      <c r="G1353" s="3" t="n">
        <v>0</v>
      </c>
      <c r="H1353" s="3" t="n">
        <v>0</v>
      </c>
    </row>
    <row r="1354" customFormat="false" ht="14.25" hidden="false" customHeight="true" outlineLevel="0" collapsed="false">
      <c r="A1354" s="1"/>
      <c r="B1354" s="1" t="s">
        <v>1483</v>
      </c>
      <c r="C1354" s="1" t="n">
        <v>8</v>
      </c>
      <c r="E1354" s="11" t="s">
        <v>1210</v>
      </c>
      <c r="F1354" s="11" t="str">
        <f aca="false">IFERROR(__xludf.dummyfunction("GOOGLETRANSLATE(B1354,""en"",""ar"")"),"حظ")</f>
        <v>حظ</v>
      </c>
      <c r="G1354" s="3" t="n">
        <v>0</v>
      </c>
      <c r="H1354" s="3" t="n">
        <v>0</v>
      </c>
    </row>
    <row r="1355" customFormat="false" ht="14.25" hidden="false" customHeight="true" outlineLevel="0" collapsed="false">
      <c r="A1355" s="1"/>
      <c r="B1355" s="1" t="s">
        <v>1484</v>
      </c>
      <c r="C1355" s="1" t="n">
        <v>8</v>
      </c>
      <c r="E1355" s="11" t="s">
        <v>1210</v>
      </c>
      <c r="F1355" s="11" t="str">
        <f aca="false">IFERROR(__xludf.dummyfunction("GOOGLETRANSLATE(B1355,""en"",""ar"")"),"حليب")</f>
        <v>حليب</v>
      </c>
      <c r="G1355" s="3" t="n">
        <v>0</v>
      </c>
      <c r="H1355" s="3" t="n">
        <v>0</v>
      </c>
    </row>
    <row r="1356" customFormat="false" ht="14.25" hidden="false" customHeight="true" outlineLevel="0" collapsed="false">
      <c r="A1356" s="1"/>
      <c r="B1356" s="1" t="s">
        <v>1485</v>
      </c>
      <c r="C1356" s="1" t="n">
        <v>8</v>
      </c>
      <c r="E1356" s="11" t="s">
        <v>405</v>
      </c>
      <c r="F1356" s="11" t="str">
        <f aca="false">IFERROR(__xludf.dummyfunction("GOOGLETRANSLATE(B1356,""en"",""ar"")"),"تحت السن القانوني")</f>
        <v>تحت السن القانوني</v>
      </c>
      <c r="G1356" s="3" t="n">
        <v>0</v>
      </c>
      <c r="H1356" s="3" t="n">
        <v>0</v>
      </c>
    </row>
    <row r="1357" customFormat="false" ht="14.25" hidden="false" customHeight="true" outlineLevel="0" collapsed="false">
      <c r="A1357" s="1"/>
      <c r="B1357" s="1" t="s">
        <v>1486</v>
      </c>
      <c r="C1357" s="1" t="n">
        <v>8</v>
      </c>
      <c r="E1357" s="11" t="s">
        <v>87</v>
      </c>
      <c r="F1357" s="11" t="str">
        <f aca="false">IFERROR(__xludf.dummyfunction("GOOGLETRANSLATE(B1357,""en"",""ar"")"),"مختلط")</f>
        <v>مختلط</v>
      </c>
      <c r="G1357" s="3" t="n">
        <v>0</v>
      </c>
      <c r="H1357" s="3" t="n">
        <v>0</v>
      </c>
    </row>
    <row r="1358" customFormat="false" ht="14.25" hidden="false" customHeight="true" outlineLevel="0" collapsed="false">
      <c r="A1358" s="1"/>
      <c r="B1358" s="1" t="s">
        <v>1487</v>
      </c>
      <c r="C1358" s="1" t="n">
        <v>8</v>
      </c>
      <c r="E1358" s="11" t="s">
        <v>1210</v>
      </c>
      <c r="F1358" s="11" t="str">
        <f aca="false">IFERROR(__xludf.dummyfunction("GOOGLETRANSLATE(B1358,""en"",""ar"")"),"فم")</f>
        <v>فم</v>
      </c>
      <c r="G1358" s="3" t="n">
        <v>0</v>
      </c>
      <c r="H1358" s="3" t="n">
        <v>0</v>
      </c>
    </row>
    <row r="1359" customFormat="false" ht="14.25" hidden="false" customHeight="true" outlineLevel="0" collapsed="false">
      <c r="A1359" s="1"/>
      <c r="B1359" s="1" t="s">
        <v>1488</v>
      </c>
      <c r="C1359" s="1" t="n">
        <v>8</v>
      </c>
      <c r="E1359" s="11" t="s">
        <v>5</v>
      </c>
      <c r="F1359" s="11" t="str">
        <f aca="false">IFERROR(__xludf.dummyfunction("GOOGLETRANSLATE(B1359,""en"",""ar"")"),"ولا")</f>
        <v>ولا</v>
      </c>
      <c r="G1359" s="3" t="n">
        <v>0</v>
      </c>
      <c r="H1359" s="3" t="n">
        <v>0</v>
      </c>
    </row>
    <row r="1360" customFormat="false" ht="14.25" hidden="false" customHeight="true" outlineLevel="0" collapsed="false">
      <c r="A1360" s="1"/>
      <c r="B1360" s="1" t="s">
        <v>1489</v>
      </c>
      <c r="C1360" s="1" t="n">
        <v>8</v>
      </c>
      <c r="E1360" s="11" t="s">
        <v>12</v>
      </c>
      <c r="F1360" s="11" t="str">
        <f aca="false">IFERROR(__xludf.dummyfunction("GOOGLETRANSLATE(B1360,""en"",""ar"")"),"العمل")</f>
        <v>العمل</v>
      </c>
      <c r="G1360" s="3" t="n">
        <v>0</v>
      </c>
      <c r="H1360" s="3" t="n">
        <v>0</v>
      </c>
    </row>
    <row r="1361" customFormat="false" ht="14.25" hidden="false" customHeight="true" outlineLevel="0" collapsed="false">
      <c r="A1361" s="1"/>
      <c r="B1361" s="1" t="s">
        <v>1490</v>
      </c>
      <c r="C1361" s="1" t="n">
        <v>8</v>
      </c>
      <c r="E1361" s="11" t="s">
        <v>42</v>
      </c>
      <c r="F1361" s="11" t="str">
        <f aca="false">IFERROR(__xludf.dummyfunction("GOOGLETRANSLATE(B1361,""en"",""ar"")"),"في الأصل")</f>
        <v>في الأصل</v>
      </c>
      <c r="G1361" s="3" t="n">
        <v>0</v>
      </c>
      <c r="H1361" s="3" t="n">
        <v>0</v>
      </c>
    </row>
    <row r="1362" customFormat="false" ht="14.25" hidden="false" customHeight="true" outlineLevel="0" collapsed="false">
      <c r="A1362" s="1"/>
      <c r="B1362" s="1" t="s">
        <v>1491</v>
      </c>
      <c r="C1362" s="1" t="n">
        <v>8</v>
      </c>
      <c r="E1362" s="11" t="s">
        <v>1492</v>
      </c>
      <c r="F1362" s="11" t="str">
        <f aca="false">IFERROR(__xludf.dummyfunction("GOOGLETRANSLATE(B1362,""en"",""ar"")"),"سلام")</f>
        <v>سلام</v>
      </c>
      <c r="G1362" s="3" t="n">
        <v>0</v>
      </c>
      <c r="H1362" s="3" t="n">
        <v>0</v>
      </c>
    </row>
    <row r="1363" customFormat="false" ht="14.25" hidden="false" customHeight="true" outlineLevel="0" collapsed="false">
      <c r="A1363" s="1"/>
      <c r="B1363" s="1" t="s">
        <v>1493</v>
      </c>
      <c r="C1363" s="1" t="n">
        <v>8</v>
      </c>
      <c r="E1363" s="11" t="s">
        <v>119</v>
      </c>
      <c r="F1363" s="11" t="str">
        <f aca="false">IFERROR(__xludf.dummyfunction("GOOGLETRANSLATE(B1363,""en"",""ar"")"),"يضخ")</f>
        <v>يضخ</v>
      </c>
      <c r="G1363" s="3" t="n">
        <v>0</v>
      </c>
      <c r="H1363" s="3" t="n">
        <v>0</v>
      </c>
    </row>
    <row r="1364" customFormat="false" ht="14.25" hidden="false" customHeight="true" outlineLevel="0" collapsed="false">
      <c r="A1364" s="1"/>
      <c r="B1364" s="1" t="s">
        <v>1494</v>
      </c>
      <c r="C1364" s="1" t="n">
        <v>8</v>
      </c>
      <c r="E1364" s="11" t="s">
        <v>1495</v>
      </c>
      <c r="F1364" s="11" t="str">
        <f aca="false">IFERROR(__xludf.dummyfunction("GOOGLETRANSLATE(B1364,""en"",""ar"")"),"من فضلك")</f>
        <v>من فضلك</v>
      </c>
      <c r="G1364" s="3" t="n">
        <v>0</v>
      </c>
      <c r="H1364" s="3" t="n">
        <v>0</v>
      </c>
    </row>
    <row r="1365" customFormat="false" ht="14.25" hidden="false" customHeight="true" outlineLevel="0" collapsed="false">
      <c r="A1365" s="1"/>
      <c r="B1365" s="1" t="s">
        <v>1496</v>
      </c>
      <c r="C1365" s="1" t="n">
        <v>8</v>
      </c>
      <c r="E1365" s="11" t="s">
        <v>79</v>
      </c>
      <c r="F1365" s="11" t="str">
        <f aca="false">IFERROR(__xludf.dummyfunction("GOOGLETRANSLATE(B1365,""en"",""ar"")"),"تفضيل")</f>
        <v>تفضيل</v>
      </c>
      <c r="G1365" s="3" t="n">
        <v>0</v>
      </c>
      <c r="H1365" s="3" t="n">
        <v>0</v>
      </c>
    </row>
    <row r="1366" customFormat="false" ht="14.25" hidden="false" customHeight="true" outlineLevel="0" collapsed="false">
      <c r="A1366" s="1"/>
      <c r="B1366" s="1" t="s">
        <v>1497</v>
      </c>
      <c r="C1366" s="1" t="n">
        <v>8</v>
      </c>
      <c r="E1366" s="11" t="s">
        <v>79</v>
      </c>
      <c r="F1366" s="11" t="str">
        <f aca="false">IFERROR(__xludf.dummyfunction("GOOGLETRANSLATE(B1366,""en"",""ar"")"),"خليط")</f>
        <v>خليط</v>
      </c>
      <c r="G1366" s="3" t="n">
        <v>0</v>
      </c>
      <c r="H1366" s="3" t="n">
        <v>0</v>
      </c>
    </row>
    <row r="1367" customFormat="false" ht="14.25" hidden="false" customHeight="true" outlineLevel="0" collapsed="false">
      <c r="A1367" s="1"/>
      <c r="B1367" s="1" t="s">
        <v>1498</v>
      </c>
      <c r="C1367" s="1" t="n">
        <v>8</v>
      </c>
      <c r="E1367" s="11" t="s">
        <v>1499</v>
      </c>
      <c r="F1367" s="11" t="str">
        <f aca="false">IFERROR(__xludf.dummyfunction("GOOGLETRANSLATE(B1367,""en"",""ar"")"),"السابق")</f>
        <v>السابق</v>
      </c>
      <c r="G1367" s="3" t="n">
        <v>0</v>
      </c>
      <c r="H1367" s="3" t="n">
        <v>0</v>
      </c>
    </row>
    <row r="1368" customFormat="false" ht="14.25" hidden="false" customHeight="true" outlineLevel="0" collapsed="false">
      <c r="A1368" s="1"/>
      <c r="B1368" s="1" t="s">
        <v>1500</v>
      </c>
      <c r="C1368" s="1" t="n">
        <v>8</v>
      </c>
      <c r="E1368" s="11" t="s">
        <v>94</v>
      </c>
      <c r="F1368" s="11" t="str">
        <f aca="false">IFERROR(__xludf.dummyfunction("GOOGLETRANSLATE(B1368,""en"",""ar"")"),"يحذب")</f>
        <v>يحذب</v>
      </c>
      <c r="G1368" s="3" t="n">
        <v>0</v>
      </c>
      <c r="H1368" s="3" t="n">
        <v>0</v>
      </c>
    </row>
    <row r="1369" customFormat="false" ht="14.25" hidden="false" customHeight="true" outlineLevel="0" collapsed="false">
      <c r="A1369" s="1"/>
      <c r="B1369" s="1" t="s">
        <v>1501</v>
      </c>
      <c r="C1369" s="1" t="n">
        <v>8</v>
      </c>
      <c r="E1369" s="11" t="s">
        <v>112</v>
      </c>
      <c r="F1369" s="11" t="str">
        <f aca="false">IFERROR(__xludf.dummyfunction("GOOGLETRANSLATE(B1369,""en"",""ar"")"),"نقي")</f>
        <v>نقي</v>
      </c>
      <c r="G1369" s="3" t="n">
        <v>0</v>
      </c>
      <c r="H1369" s="3" t="n">
        <v>0</v>
      </c>
    </row>
    <row r="1370" customFormat="false" ht="14.25" hidden="false" customHeight="true" outlineLevel="0" collapsed="false">
      <c r="A1370" s="1"/>
      <c r="B1370" s="1" t="s">
        <v>1502</v>
      </c>
      <c r="C1370" s="1" t="n">
        <v>8</v>
      </c>
      <c r="E1370" s="11" t="s">
        <v>1389</v>
      </c>
      <c r="F1370" s="11" t="str">
        <f aca="false">IFERROR(__xludf.dummyfunction("GOOGLETRANSLATE(B1370,""en"",""ar"")"),"الخام")</f>
        <v>الخام</v>
      </c>
      <c r="G1370" s="3" t="n">
        <v>0</v>
      </c>
      <c r="H1370" s="3" t="n">
        <v>0</v>
      </c>
    </row>
    <row r="1371" customFormat="false" ht="14.25" hidden="false" customHeight="true" outlineLevel="0" collapsed="false">
      <c r="A1371" s="1"/>
      <c r="B1371" s="1" t="s">
        <v>1503</v>
      </c>
      <c r="C1371" s="1" t="n">
        <v>8</v>
      </c>
      <c r="E1371" s="11" t="s">
        <v>12</v>
      </c>
      <c r="F1371" s="11" t="str">
        <f aca="false">IFERROR(__xludf.dummyfunction("GOOGLETRANSLATE(B1371,""en"",""ar"")"),"يعكس")</f>
        <v>يعكس</v>
      </c>
      <c r="G1371" s="3" t="n">
        <v>0</v>
      </c>
      <c r="H1371" s="3" t="n">
        <v>0</v>
      </c>
    </row>
    <row r="1372" customFormat="false" ht="14.25" hidden="false" customHeight="true" outlineLevel="0" collapsed="false">
      <c r="A1372" s="1"/>
      <c r="B1372" s="1" t="s">
        <v>1504</v>
      </c>
      <c r="C1372" s="1" t="n">
        <v>8</v>
      </c>
      <c r="E1372" s="11" t="s">
        <v>79</v>
      </c>
      <c r="F1372" s="11" t="str">
        <f aca="false">IFERROR(__xludf.dummyfunction("GOOGLETRANSLATE(B1372,""en"",""ar"")"),"منطقة")</f>
        <v>منطقة</v>
      </c>
      <c r="G1372" s="3" t="n">
        <v>0</v>
      </c>
      <c r="H1372" s="3" t="n">
        <v>0</v>
      </c>
    </row>
    <row r="1373" customFormat="false" ht="14.25" hidden="false" customHeight="true" outlineLevel="0" collapsed="false">
      <c r="A1373" s="1"/>
      <c r="B1373" s="1" t="s">
        <v>1505</v>
      </c>
      <c r="C1373" s="1" t="n">
        <v>8</v>
      </c>
      <c r="E1373" s="11" t="s">
        <v>79</v>
      </c>
      <c r="F1373" s="11" t="str">
        <f aca="false">IFERROR(__xludf.dummyfunction("GOOGLETRANSLATE(B1373,""en"",""ar"")"),"جمهورية")</f>
        <v>جمهورية</v>
      </c>
      <c r="G1373" s="3" t="n">
        <v>0</v>
      </c>
      <c r="H1373" s="3" t="n">
        <v>0</v>
      </c>
    </row>
    <row r="1374" customFormat="false" ht="14.25" hidden="false" customHeight="true" outlineLevel="0" collapsed="false">
      <c r="A1374" s="1"/>
      <c r="B1374" s="1" t="s">
        <v>1506</v>
      </c>
      <c r="C1374" s="1" t="n">
        <v>8</v>
      </c>
      <c r="E1374" s="11" t="s">
        <v>42</v>
      </c>
      <c r="F1374" s="11" t="str">
        <f aca="false">IFERROR(__xludf.dummyfunction("GOOGLETRANSLATE(B1374,""en"",""ar"")"),"بقسوة")</f>
        <v>بقسوة</v>
      </c>
      <c r="G1374" s="3" t="n">
        <v>0</v>
      </c>
      <c r="H1374" s="3" t="n">
        <v>0</v>
      </c>
    </row>
    <row r="1375" customFormat="false" ht="14.25" hidden="false" customHeight="true" outlineLevel="0" collapsed="false">
      <c r="A1375" s="1"/>
      <c r="B1375" s="1" t="s">
        <v>1507</v>
      </c>
      <c r="C1375" s="1" t="n">
        <v>8</v>
      </c>
      <c r="E1375" s="11" t="s">
        <v>119</v>
      </c>
      <c r="F1375" s="11" t="str">
        <f aca="false">IFERROR(__xludf.dummyfunction("GOOGLETRANSLATE(B1375,""en"",""ar"")"),"مقعد")</f>
        <v>مقعد</v>
      </c>
      <c r="G1375" s="3" t="n">
        <v>0</v>
      </c>
      <c r="H1375" s="3" t="n">
        <v>0</v>
      </c>
    </row>
    <row r="1376" customFormat="false" ht="14.25" hidden="false" customHeight="true" outlineLevel="0" collapsed="false">
      <c r="A1376" s="1"/>
      <c r="B1376" s="1" t="s">
        <v>1508</v>
      </c>
      <c r="C1376" s="1" t="n">
        <v>8</v>
      </c>
      <c r="E1376" s="11" t="s">
        <v>12</v>
      </c>
      <c r="F1376" s="11" t="str">
        <f aca="false">IFERROR(__xludf.dummyfunction("GOOGLETRANSLATE(B1376,""en"",""ar"")"),"إرسال")</f>
        <v>إرسال</v>
      </c>
      <c r="G1376" s="3" t="n">
        <v>0</v>
      </c>
      <c r="H1376" s="3" t="n">
        <v>0</v>
      </c>
    </row>
    <row r="1377" customFormat="false" ht="14.25" hidden="false" customHeight="true" outlineLevel="0" collapsed="false">
      <c r="A1377" s="1"/>
      <c r="B1377" s="1" t="s">
        <v>1509</v>
      </c>
      <c r="C1377" s="1" t="n">
        <v>8</v>
      </c>
      <c r="E1377" s="11" t="s">
        <v>42</v>
      </c>
      <c r="F1377" s="11" t="str">
        <f aca="false">IFERROR(__xludf.dummyfunction("GOOGLETRANSLATE(B1377,""en"",""ar"")"),"بشكل كبير")</f>
        <v>بشكل كبير</v>
      </c>
      <c r="G1377" s="3" t="n">
        <v>0</v>
      </c>
      <c r="H1377" s="3" t="n">
        <v>0</v>
      </c>
    </row>
    <row r="1378" customFormat="false" ht="14.25" hidden="false" customHeight="true" outlineLevel="0" collapsed="false">
      <c r="A1378" s="1"/>
      <c r="B1378" s="1" t="s">
        <v>1510</v>
      </c>
      <c r="C1378" s="1" t="n">
        <v>8</v>
      </c>
      <c r="E1378" s="11" t="s">
        <v>126</v>
      </c>
      <c r="F1378" s="11" t="str">
        <f aca="false">IFERROR(__xludf.dummyfunction("GOOGLETRANSLATE(B1378,""en"",""ar"")"),"ناعم")</f>
        <v>ناعم</v>
      </c>
      <c r="G1378" s="3" t="n">
        <v>0</v>
      </c>
      <c r="H1378" s="3" t="n">
        <v>0</v>
      </c>
    </row>
    <row r="1379" customFormat="false" ht="14.25" hidden="false" customHeight="true" outlineLevel="0" collapsed="false">
      <c r="A1379" s="1"/>
      <c r="B1379" s="1" t="s">
        <v>1511</v>
      </c>
      <c r="C1379" s="1" t="n">
        <v>8</v>
      </c>
      <c r="E1379" s="11" t="s">
        <v>235</v>
      </c>
      <c r="F1379" s="11" t="str">
        <f aca="false">IFERROR(__xludf.dummyfunction("GOOGLETRANSLATE(B1379,""en"",""ar"")"),"صلب")</f>
        <v>صلب</v>
      </c>
      <c r="G1379" s="3" t="n">
        <v>0</v>
      </c>
      <c r="H1379" s="3" t="n">
        <v>0</v>
      </c>
    </row>
    <row r="1380" customFormat="false" ht="14.25" hidden="false" customHeight="true" outlineLevel="0" collapsed="false">
      <c r="A1380" s="1"/>
      <c r="B1380" s="1" t="s">
        <v>1512</v>
      </c>
      <c r="C1380" s="1" t="n">
        <v>8</v>
      </c>
      <c r="E1380" s="11" t="s">
        <v>119</v>
      </c>
      <c r="F1380" s="11" t="str">
        <f aca="false">IFERROR(__xludf.dummyfunction("GOOGLETRANSLATE(B1380,""en"",""ar"")"),"مستقر")</f>
        <v>مستقر</v>
      </c>
      <c r="G1380" s="3" t="n">
        <v>0</v>
      </c>
      <c r="H1380" s="3" t="n">
        <v>0</v>
      </c>
    </row>
    <row r="1381" customFormat="false" ht="14.25" hidden="false" customHeight="true" outlineLevel="0" collapsed="false">
      <c r="A1381" s="1"/>
      <c r="B1381" s="1" t="s">
        <v>1513</v>
      </c>
      <c r="C1381" s="1" t="n">
        <v>8</v>
      </c>
      <c r="E1381" s="11" t="s">
        <v>1210</v>
      </c>
      <c r="F1381" s="11" t="str">
        <f aca="false">IFERROR(__xludf.dummyfunction("GOOGLETRANSLATE(B1381,""en"",""ar"")"),"عاصفه")</f>
        <v>عاصفه</v>
      </c>
      <c r="G1381" s="3" t="n">
        <v>0</v>
      </c>
      <c r="H1381" s="3" t="n">
        <v>0</v>
      </c>
    </row>
    <row r="1382" customFormat="false" ht="14.25" hidden="false" customHeight="true" outlineLevel="0" collapsed="false">
      <c r="A1382" s="1"/>
      <c r="B1382" s="1" t="s">
        <v>1514</v>
      </c>
      <c r="C1382" s="1" t="n">
        <v>8</v>
      </c>
      <c r="E1382" s="11" t="s">
        <v>1304</v>
      </c>
      <c r="F1382" s="11" t="str">
        <f aca="false">IFERROR(__xludf.dummyfunction("GOOGLETRANSLATE(B1382,""en"",""ar"")"),"مستوى")</f>
        <v>مستوى</v>
      </c>
      <c r="G1382" s="3" t="n">
        <v>0</v>
      </c>
      <c r="H1382" s="3" t="n">
        <v>0</v>
      </c>
    </row>
    <row r="1383" customFormat="false" ht="14.25" hidden="false" customHeight="true" outlineLevel="0" collapsed="false">
      <c r="A1383" s="1"/>
      <c r="B1383" s="1" t="s">
        <v>1515</v>
      </c>
      <c r="C1383" s="1" t="n">
        <v>8</v>
      </c>
      <c r="E1383" s="11" t="s">
        <v>128</v>
      </c>
      <c r="F1383" s="11" t="str">
        <f aca="false">IFERROR(__xludf.dummyfunction("GOOGLETRANSLATE(B1383,""en"",""ar"")"),"فريق")</f>
        <v>فريق</v>
      </c>
      <c r="G1383" s="3" t="n">
        <v>0</v>
      </c>
      <c r="H1383" s="3" t="n">
        <v>0</v>
      </c>
    </row>
    <row r="1384" customFormat="false" ht="14.25" hidden="false" customHeight="true" outlineLevel="0" collapsed="false">
      <c r="A1384" s="1"/>
      <c r="B1384" s="1" t="s">
        <v>1516</v>
      </c>
      <c r="C1384" s="1" t="n">
        <v>8</v>
      </c>
      <c r="E1384" s="11" t="s">
        <v>79</v>
      </c>
      <c r="F1384" s="11" t="str">
        <f aca="false">IFERROR(__xludf.dummyfunction("GOOGLETRANSLATE(B1384,""en"",""ar"")"),"التقليد")</f>
        <v>التقليد</v>
      </c>
      <c r="G1384" s="3" t="n">
        <v>0</v>
      </c>
      <c r="H1384" s="3" t="n">
        <v>0</v>
      </c>
    </row>
    <row r="1385" customFormat="false" ht="14.25" hidden="false" customHeight="true" outlineLevel="0" collapsed="false">
      <c r="A1385" s="1"/>
      <c r="B1385" s="1" t="s">
        <v>1517</v>
      </c>
      <c r="C1385" s="1" t="n">
        <v>8</v>
      </c>
      <c r="E1385" s="11" t="s">
        <v>1283</v>
      </c>
      <c r="F1385" s="11" t="str">
        <f aca="false">IFERROR(__xludf.dummyfunction("GOOGLETRANSLATE(B1385,""en"",""ar"")"),"الخدعة")</f>
        <v>الخدعة</v>
      </c>
      <c r="G1385" s="3" t="n">
        <v>0</v>
      </c>
      <c r="H1385" s="3" t="n">
        <v>0</v>
      </c>
    </row>
    <row r="1386" customFormat="false" ht="14.25" hidden="false" customHeight="true" outlineLevel="0" collapsed="false">
      <c r="A1386" s="1"/>
      <c r="B1386" s="1" t="s">
        <v>1518</v>
      </c>
      <c r="C1386" s="1" t="n">
        <v>8</v>
      </c>
      <c r="E1386" s="11" t="s">
        <v>79</v>
      </c>
      <c r="F1386" s="11" t="str">
        <f aca="false">IFERROR(__xludf.dummyfunction("GOOGLETRANSLATE(B1386,""en"",""ar"")"),"فايروس")</f>
        <v>فايروس</v>
      </c>
      <c r="G1386" s="3" t="n">
        <v>0</v>
      </c>
      <c r="H1386" s="3" t="n">
        <v>0</v>
      </c>
    </row>
    <row r="1387" customFormat="false" ht="14.25" hidden="false" customHeight="true" outlineLevel="0" collapsed="false">
      <c r="A1387" s="1"/>
      <c r="B1387" s="1" t="s">
        <v>1519</v>
      </c>
      <c r="C1387" s="1" t="n">
        <v>8</v>
      </c>
      <c r="E1387" s="11" t="s">
        <v>1205</v>
      </c>
      <c r="F1387" s="11" t="str">
        <f aca="false">IFERROR(__xludf.dummyfunction("GOOGLETRANSLATE(B1387,""en"",""ar"")"),"البس، ارتداء")</f>
        <v>البس، ارتداء</v>
      </c>
      <c r="G1387" s="3" t="n">
        <v>0</v>
      </c>
      <c r="H1387" s="3" t="n">
        <v>0</v>
      </c>
    </row>
    <row r="1388" customFormat="false" ht="14.25" hidden="false" customHeight="true" outlineLevel="0" collapsed="false">
      <c r="A1388" s="1"/>
      <c r="B1388" s="1" t="s">
        <v>1520</v>
      </c>
      <c r="C1388" s="1" t="n">
        <v>8</v>
      </c>
      <c r="E1388" s="11" t="s">
        <v>235</v>
      </c>
      <c r="F1388" s="11" t="str">
        <f aca="false">IFERROR(__xludf.dummyfunction("GOOGLETRANSLATE(B1388,""en"",""ar"")"),"عجيب")</f>
        <v>عجيب</v>
      </c>
      <c r="G1388" s="3" t="n">
        <v>0</v>
      </c>
      <c r="H1388" s="3" t="n">
        <v>0</v>
      </c>
    </row>
    <row r="1389" customFormat="false" ht="14.25" hidden="false" customHeight="true" outlineLevel="0" collapsed="false">
      <c r="A1389" s="1"/>
      <c r="B1389" s="1" t="s">
        <v>1521</v>
      </c>
      <c r="C1389" s="1" t="n">
        <v>8</v>
      </c>
      <c r="E1389" s="11" t="s">
        <v>1205</v>
      </c>
      <c r="F1389" s="11" t="str">
        <f aca="false">IFERROR(__xludf.dummyfunction("GOOGLETRANSLATE(B1389,""en"",""ar"")"),"يتساءل")</f>
        <v>يتساءل</v>
      </c>
      <c r="G1389" s="3" t="n">
        <v>0</v>
      </c>
      <c r="H1389" s="3" t="n">
        <v>0</v>
      </c>
    </row>
    <row r="1390" customFormat="false" ht="14.25" hidden="false" customHeight="true" outlineLevel="0" collapsed="false">
      <c r="A1390" s="1"/>
      <c r="B1390" s="1" t="s">
        <v>1522</v>
      </c>
      <c r="C1390" s="1" t="n">
        <v>7</v>
      </c>
      <c r="E1390" s="11" t="s">
        <v>79</v>
      </c>
      <c r="F1390" s="11" t="str">
        <f aca="false">IFERROR(__xludf.dummyfunction("GOOGLETRANSLATE(B1390,""en"",""ar"")"),"الممثل")</f>
        <v>الممثل</v>
      </c>
      <c r="G1390" s="3" t="n">
        <v>0</v>
      </c>
      <c r="H1390" s="3" t="n">
        <v>0</v>
      </c>
    </row>
    <row r="1391" customFormat="false" ht="14.25" hidden="false" customHeight="true" outlineLevel="0" collapsed="false">
      <c r="A1391" s="1"/>
      <c r="B1391" s="1" t="s">
        <v>1523</v>
      </c>
      <c r="C1391" s="1" t="n">
        <v>7</v>
      </c>
      <c r="E1391" s="11" t="s">
        <v>112</v>
      </c>
      <c r="F1391" s="11" t="str">
        <f aca="false">IFERROR(__xludf.dummyfunction("GOOGLETRANSLATE(B1391,""en"",""ar"")"),"خائف")</f>
        <v>خائف</v>
      </c>
      <c r="G1391" s="3" t="n">
        <v>0</v>
      </c>
      <c r="H1391" s="3" t="n">
        <v>0</v>
      </c>
    </row>
    <row r="1392" customFormat="false" ht="14.25" hidden="false" customHeight="true" outlineLevel="0" collapsed="false">
      <c r="A1392" s="1"/>
      <c r="B1392" s="1" t="s">
        <v>1524</v>
      </c>
      <c r="C1392" s="1" t="n">
        <v>7</v>
      </c>
      <c r="E1392" s="11" t="s">
        <v>148</v>
      </c>
      <c r="F1392" s="11" t="str">
        <f aca="false">IFERROR(__xludf.dummyfunction("GOOGLETRANSLATE(B1392,""en"",""ar"")"),"بعد الظهر")</f>
        <v>بعد الظهر</v>
      </c>
      <c r="G1392" s="3" t="n">
        <v>0</v>
      </c>
      <c r="H1392" s="3" t="n">
        <v>0</v>
      </c>
    </row>
    <row r="1393" customFormat="false" ht="14.25" hidden="false" customHeight="true" outlineLevel="0" collapsed="false">
      <c r="A1393" s="1"/>
      <c r="B1393" s="1" t="s">
        <v>1525</v>
      </c>
      <c r="C1393" s="1" t="n">
        <v>7</v>
      </c>
      <c r="E1393" s="11" t="s">
        <v>179</v>
      </c>
      <c r="F1393" s="11" t="str">
        <f aca="false">IFERROR(__xludf.dummyfunction("GOOGLETRANSLATE(B1393,""en"",""ar"")"),"رائعة حقا")</f>
        <v>رائعة حقا</v>
      </c>
      <c r="G1393" s="3" t="n">
        <v>0</v>
      </c>
      <c r="H1393" s="3" t="n">
        <v>0</v>
      </c>
    </row>
    <row r="1394" customFormat="false" ht="14.25" hidden="false" customHeight="true" outlineLevel="0" collapsed="false">
      <c r="A1394" s="1"/>
      <c r="B1394" s="1" t="s">
        <v>1526</v>
      </c>
      <c r="C1394" s="1" t="n">
        <v>7</v>
      </c>
      <c r="E1394" s="11" t="s">
        <v>235</v>
      </c>
      <c r="F1394" s="11" t="str">
        <f aca="false">IFERROR(__xludf.dummyfunction("GOOGLETRANSLATE(B1394,""en"",""ar"")"),"سنوي")</f>
        <v>سنوي</v>
      </c>
      <c r="G1394" s="3" t="n">
        <v>0</v>
      </c>
      <c r="H1394" s="3" t="n">
        <v>0</v>
      </c>
    </row>
    <row r="1395" customFormat="false" ht="14.25" hidden="false" customHeight="true" outlineLevel="0" collapsed="false">
      <c r="A1395" s="1"/>
      <c r="B1395" s="1" t="s">
        <v>1527</v>
      </c>
      <c r="C1395" s="1" t="n">
        <v>7</v>
      </c>
      <c r="E1395" s="11" t="s">
        <v>12</v>
      </c>
      <c r="F1395" s="11" t="str">
        <f aca="false">IFERROR(__xludf.dummyfunction("GOOGLETRANSLATE(B1395,""en"",""ar"")"),"يتوقع")</f>
        <v>يتوقع</v>
      </c>
      <c r="G1395" s="3" t="n">
        <v>0</v>
      </c>
      <c r="H1395" s="3" t="n">
        <v>0</v>
      </c>
    </row>
    <row r="1396" customFormat="false" ht="14.25" hidden="false" customHeight="true" outlineLevel="0" collapsed="false">
      <c r="A1396" s="1"/>
      <c r="B1396" s="1" t="s">
        <v>1528</v>
      </c>
      <c r="C1396" s="1" t="n">
        <v>7</v>
      </c>
      <c r="E1396" s="11" t="s">
        <v>12</v>
      </c>
      <c r="F1396" s="11" t="str">
        <f aca="false">IFERROR(__xludf.dummyfunction("GOOGLETRANSLATE(B1396,""en"",""ar"")"),"افترض")</f>
        <v>افترض</v>
      </c>
      <c r="G1396" s="3" t="n">
        <v>0</v>
      </c>
      <c r="H1396" s="3" t="n">
        <v>0</v>
      </c>
    </row>
    <row r="1397" customFormat="false" ht="14.25" hidden="false" customHeight="true" outlineLevel="0" collapsed="false">
      <c r="A1397" s="1"/>
      <c r="B1397" s="1" t="s">
        <v>1529</v>
      </c>
      <c r="C1397" s="1" t="n">
        <v>7</v>
      </c>
      <c r="E1397" s="11" t="s">
        <v>119</v>
      </c>
      <c r="F1397" s="11" t="str">
        <f aca="false">IFERROR(__xludf.dummyfunction("GOOGLETRANSLATE(B1397,""en"",""ar"")"),"مضرب")</f>
        <v>مضرب</v>
      </c>
      <c r="G1397" s="3" t="n">
        <v>0</v>
      </c>
      <c r="H1397" s="3" t="n">
        <v>0</v>
      </c>
    </row>
    <row r="1398" customFormat="false" ht="14.25" hidden="false" customHeight="true" outlineLevel="0" collapsed="false">
      <c r="A1398" s="1"/>
      <c r="B1398" s="1" t="s">
        <v>1530</v>
      </c>
      <c r="C1398" s="1" t="n">
        <v>7</v>
      </c>
      <c r="E1398" s="11" t="s">
        <v>119</v>
      </c>
      <c r="F1398" s="11" t="str">
        <f aca="false">IFERROR(__xludf.dummyfunction("GOOGLETRANSLATE(B1398,""en"",""ar"")"),"شاطئ بحر")</f>
        <v>شاطئ بحر</v>
      </c>
      <c r="G1398" s="3" t="n">
        <v>0</v>
      </c>
      <c r="H1398" s="3" t="n">
        <v>0</v>
      </c>
    </row>
    <row r="1399" customFormat="false" ht="14.25" hidden="false" customHeight="true" outlineLevel="0" collapsed="false">
      <c r="A1399" s="1"/>
      <c r="B1399" s="1" t="s">
        <v>1531</v>
      </c>
      <c r="C1399" s="1" t="n">
        <v>7</v>
      </c>
      <c r="E1399" s="11" t="s">
        <v>128</v>
      </c>
      <c r="F1399" s="11" t="str">
        <f aca="false">IFERROR(__xludf.dummyfunction("GOOGLETRANSLATE(B1399,""en"",""ar"")"),"فارغ")</f>
        <v>فارغ</v>
      </c>
      <c r="G1399" s="3" t="n">
        <v>0</v>
      </c>
      <c r="H1399" s="3" t="n">
        <v>0</v>
      </c>
    </row>
    <row r="1400" customFormat="false" ht="14.25" hidden="false" customHeight="true" outlineLevel="0" collapsed="false">
      <c r="A1400" s="1"/>
      <c r="B1400" s="1" t="s">
        <v>1532</v>
      </c>
      <c r="C1400" s="1" t="n">
        <v>7</v>
      </c>
      <c r="E1400" s="11" t="s">
        <v>179</v>
      </c>
      <c r="F1400" s="11" t="str">
        <f aca="false">IFERROR(__xludf.dummyfunction("GOOGLETRANSLATE(B1400,""en"",""ar"")"),"مشغول")</f>
        <v>مشغول</v>
      </c>
      <c r="G1400" s="3" t="n">
        <v>0</v>
      </c>
      <c r="H1400" s="3" t="n">
        <v>0</v>
      </c>
    </row>
    <row r="1401" customFormat="false" ht="14.25" hidden="false" customHeight="true" outlineLevel="0" collapsed="false">
      <c r="A1401" s="1"/>
      <c r="B1401" s="1" t="s">
        <v>1533</v>
      </c>
      <c r="C1401" s="1" t="n">
        <v>7</v>
      </c>
      <c r="E1401" s="11" t="s">
        <v>119</v>
      </c>
      <c r="F1401" s="11" t="str">
        <f aca="false">IFERROR(__xludf.dummyfunction("GOOGLETRANSLATE(B1401,""en"",""ar"")"),"قبض على")</f>
        <v>قبض على</v>
      </c>
      <c r="G1401" s="3" t="n">
        <v>0</v>
      </c>
      <c r="H1401" s="3" t="n">
        <v>0</v>
      </c>
    </row>
    <row r="1402" customFormat="false" ht="14.25" hidden="false" customHeight="true" outlineLevel="0" collapsed="false">
      <c r="A1402" s="1"/>
      <c r="B1402" s="1" t="s">
        <v>1534</v>
      </c>
      <c r="C1402" s="1" t="n">
        <v>7</v>
      </c>
      <c r="E1402" s="11" t="s">
        <v>119</v>
      </c>
      <c r="F1402" s="11" t="str">
        <f aca="false">IFERROR(__xludf.dummyfunction("GOOGLETRANSLATE(B1402,""en"",""ar"")"),"سلسلة")</f>
        <v>سلسلة</v>
      </c>
      <c r="G1402" s="3" t="n">
        <v>0</v>
      </c>
      <c r="H1402" s="3" t="n">
        <v>0</v>
      </c>
    </row>
    <row r="1403" customFormat="false" ht="14.25" hidden="false" customHeight="true" outlineLevel="0" collapsed="false">
      <c r="A1403" s="1"/>
      <c r="B1403" s="1" t="s">
        <v>1535</v>
      </c>
      <c r="C1403" s="1" t="n">
        <v>7</v>
      </c>
      <c r="E1403" s="11" t="s">
        <v>79</v>
      </c>
      <c r="F1403" s="11" t="str">
        <f aca="false">IFERROR(__xludf.dummyfunction("GOOGLETRANSLATE(B1403,""en"",""ar"")"),"قاعة الدراسة")</f>
        <v>قاعة الدراسة</v>
      </c>
      <c r="G1403" s="3" t="n">
        <v>0</v>
      </c>
      <c r="H1403" s="3" t="n">
        <v>0</v>
      </c>
    </row>
    <row r="1404" customFormat="false" ht="14.25" hidden="false" customHeight="true" outlineLevel="0" collapsed="false">
      <c r="A1404" s="1"/>
      <c r="B1404" s="1" t="s">
        <v>1536</v>
      </c>
      <c r="C1404" s="1" t="n">
        <v>7</v>
      </c>
      <c r="E1404" s="11" t="s">
        <v>1304</v>
      </c>
      <c r="F1404" s="11" t="str">
        <f aca="false">IFERROR(__xludf.dummyfunction("GOOGLETRANSLATE(B1404,""en"",""ar"")"),"اعتبار")</f>
        <v>اعتبار</v>
      </c>
      <c r="G1404" s="3" t="n">
        <v>0</v>
      </c>
      <c r="H1404" s="3" t="n">
        <v>0</v>
      </c>
    </row>
    <row r="1405" customFormat="false" ht="14.25" hidden="false" customHeight="true" outlineLevel="0" collapsed="false">
      <c r="A1405" s="1"/>
      <c r="B1405" s="1" t="s">
        <v>1537</v>
      </c>
      <c r="C1405" s="1" t="n">
        <v>7</v>
      </c>
      <c r="E1405" s="11" t="s">
        <v>1347</v>
      </c>
      <c r="F1405" s="11" t="str">
        <f aca="false">IFERROR(__xludf.dummyfunction("GOOGLETRANSLATE(B1405,""en"",""ar"")"),"عدد")</f>
        <v>عدد</v>
      </c>
      <c r="G1405" s="3" t="n">
        <v>0</v>
      </c>
      <c r="H1405" s="3" t="n">
        <v>0</v>
      </c>
    </row>
    <row r="1406" customFormat="false" ht="14.25" hidden="false" customHeight="true" outlineLevel="0" collapsed="false">
      <c r="A1406" s="1"/>
      <c r="B1406" s="1" t="s">
        <v>1538</v>
      </c>
      <c r="C1406" s="1" t="n">
        <v>7</v>
      </c>
      <c r="E1406" s="11" t="s">
        <v>1231</v>
      </c>
      <c r="F1406" s="11" t="str">
        <f aca="false">IFERROR(__xludf.dummyfunction("GOOGLETRANSLATE(B1406,""en"",""ar"")"),"كريم")</f>
        <v>كريم</v>
      </c>
      <c r="G1406" s="3" t="n">
        <v>0</v>
      </c>
      <c r="H1406" s="3" t="n">
        <v>0</v>
      </c>
    </row>
    <row r="1407" customFormat="false" ht="14.25" hidden="false" customHeight="true" outlineLevel="0" collapsed="false">
      <c r="A1407" s="1"/>
      <c r="B1407" s="1" t="s">
        <v>1539</v>
      </c>
      <c r="C1407" s="1" t="n">
        <v>7</v>
      </c>
      <c r="E1407" s="11" t="s">
        <v>119</v>
      </c>
      <c r="F1407" s="11" t="str">
        <f aca="false">IFERROR(__xludf.dummyfunction("GOOGLETRANSLATE(B1407,""en"",""ar"")"),"طاقم العمل")</f>
        <v>طاقم العمل</v>
      </c>
      <c r="G1407" s="3" t="n">
        <v>0</v>
      </c>
      <c r="H1407" s="3" t="n">
        <v>0</v>
      </c>
    </row>
    <row r="1408" customFormat="false" ht="14.25" hidden="false" customHeight="true" outlineLevel="0" collapsed="false">
      <c r="A1408" s="1"/>
      <c r="B1408" s="1" t="s">
        <v>1540</v>
      </c>
      <c r="C1408" s="1" t="n">
        <v>7</v>
      </c>
      <c r="E1408" s="11" t="s">
        <v>1541</v>
      </c>
      <c r="F1408" s="11" t="str">
        <f aca="false">IFERROR(__xludf.dummyfunction("GOOGLETRANSLATE(B1408,""en"",""ar"")"),"في ذمة الله تعالى")</f>
        <v>في ذمة الله تعالى</v>
      </c>
      <c r="G1408" s="3" t="n">
        <v>0</v>
      </c>
      <c r="H1408" s="3" t="n">
        <v>0</v>
      </c>
    </row>
    <row r="1409" customFormat="false" ht="14.25" hidden="false" customHeight="true" outlineLevel="0" collapsed="false">
      <c r="A1409" s="1"/>
      <c r="B1409" s="1" t="s">
        <v>1542</v>
      </c>
      <c r="C1409" s="1" t="n">
        <v>7</v>
      </c>
      <c r="E1409" s="11" t="s">
        <v>79</v>
      </c>
      <c r="F1409" s="11" t="str">
        <f aca="false">IFERROR(__xludf.dummyfunction("GOOGLETRANSLATE(B1409,""en"",""ar"")"),"توصيل")</f>
        <v>توصيل</v>
      </c>
      <c r="G1409" s="3" t="n">
        <v>0</v>
      </c>
      <c r="H1409" s="3" t="n">
        <v>0</v>
      </c>
    </row>
    <row r="1410" customFormat="false" ht="14.25" hidden="false" customHeight="true" outlineLevel="0" collapsed="false">
      <c r="A1410" s="1"/>
      <c r="B1410" s="1" t="s">
        <v>1543</v>
      </c>
      <c r="C1410" s="1" t="n">
        <v>7</v>
      </c>
      <c r="E1410" s="11" t="s">
        <v>1210</v>
      </c>
      <c r="F1410" s="11" t="str">
        <f aca="false">IFERROR(__xludf.dummyfunction("GOOGLETRANSLATE(B1410,""en"",""ar"")"),"التفاصيل")</f>
        <v>التفاصيل</v>
      </c>
      <c r="G1410" s="3" t="n">
        <v>0</v>
      </c>
      <c r="H1410" s="3" t="n">
        <v>0</v>
      </c>
    </row>
    <row r="1411" customFormat="false" ht="14.25" hidden="false" customHeight="true" outlineLevel="0" collapsed="false">
      <c r="A1411" s="1"/>
      <c r="B1411" s="1" t="s">
        <v>1544</v>
      </c>
      <c r="C1411" s="1" t="n">
        <v>7</v>
      </c>
      <c r="E1411" s="11" t="s">
        <v>87</v>
      </c>
      <c r="F1411" s="11" t="str">
        <f aca="false">IFERROR(__xludf.dummyfunction("GOOGLETRANSLATE(B1411,""en"",""ar"")"),"مفصلة")</f>
        <v>مفصلة</v>
      </c>
      <c r="G1411" s="3" t="n">
        <v>0</v>
      </c>
      <c r="H1411" s="3" t="n">
        <v>0</v>
      </c>
    </row>
    <row r="1412" customFormat="false" ht="14.25" hidden="false" customHeight="true" outlineLevel="0" collapsed="false">
      <c r="A1412" s="1"/>
      <c r="B1412" s="1" t="s">
        <v>1545</v>
      </c>
      <c r="C1412" s="1" t="n">
        <v>7</v>
      </c>
      <c r="E1412" s="11" t="s">
        <v>79</v>
      </c>
      <c r="F1412" s="11" t="str">
        <f aca="false">IFERROR(__xludf.dummyfunction("GOOGLETRANSLATE(B1412,""en"",""ar"")"),"جهاز")</f>
        <v>جهاز</v>
      </c>
      <c r="G1412" s="3" t="n">
        <v>0</v>
      </c>
      <c r="H1412" s="3" t="n">
        <v>0</v>
      </c>
    </row>
    <row r="1413" customFormat="false" ht="14.25" hidden="false" customHeight="true" outlineLevel="0" collapsed="false">
      <c r="A1413" s="1"/>
      <c r="B1413" s="1" t="s">
        <v>1546</v>
      </c>
      <c r="C1413" s="1" t="n">
        <v>7</v>
      </c>
      <c r="E1413" s="11" t="s">
        <v>79</v>
      </c>
      <c r="F1413" s="11" t="str">
        <f aca="false">IFERROR(__xludf.dummyfunction("GOOGLETRANSLATE(B1413,""en"",""ar"")"),"صعوبة")</f>
        <v>صعوبة</v>
      </c>
      <c r="G1413" s="3" t="n">
        <v>0</v>
      </c>
      <c r="H1413" s="3" t="n">
        <v>0</v>
      </c>
    </row>
    <row r="1414" customFormat="false" ht="14.25" hidden="false" customHeight="true" outlineLevel="0" collapsed="false">
      <c r="A1414" s="1"/>
      <c r="B1414" s="1" t="s">
        <v>1547</v>
      </c>
      <c r="C1414" s="1" t="n">
        <v>7</v>
      </c>
      <c r="E1414" s="11" t="s">
        <v>1205</v>
      </c>
      <c r="F1414" s="11" t="str">
        <f aca="false">IFERROR(__xludf.dummyfunction("GOOGLETRANSLATE(B1414,""en"",""ar"")"),"شك")</f>
        <v>شك</v>
      </c>
      <c r="G1414" s="3" t="n">
        <v>0</v>
      </c>
      <c r="H1414" s="3" t="n">
        <v>0</v>
      </c>
    </row>
    <row r="1415" customFormat="false" ht="14.25" hidden="false" customHeight="true" outlineLevel="0" collapsed="false">
      <c r="A1415" s="1"/>
      <c r="B1415" s="1" t="s">
        <v>1548</v>
      </c>
      <c r="C1415" s="1" t="n">
        <v>7</v>
      </c>
      <c r="E1415" s="11" t="s">
        <v>79</v>
      </c>
      <c r="F1415" s="11" t="str">
        <f aca="false">IFERROR(__xludf.dummyfunction("GOOGLETRANSLATE(B1415,""en"",""ar"")"),"دراما")</f>
        <v>دراما</v>
      </c>
      <c r="G1415" s="3" t="n">
        <v>0</v>
      </c>
      <c r="H1415" s="3" t="n">
        <v>0</v>
      </c>
    </row>
    <row r="1416" customFormat="false" ht="14.25" hidden="false" customHeight="true" outlineLevel="0" collapsed="false">
      <c r="A1416" s="1"/>
      <c r="B1416" s="1" t="s">
        <v>1549</v>
      </c>
      <c r="C1416" s="1" t="n">
        <v>7</v>
      </c>
      <c r="E1416" s="11" t="s">
        <v>79</v>
      </c>
      <c r="F1416" s="11" t="str">
        <f aca="false">IFERROR(__xludf.dummyfunction("GOOGLETRANSLATE(B1416,""en"",""ar"")"),"انتخاب")</f>
        <v>انتخاب</v>
      </c>
      <c r="G1416" s="3" t="n">
        <v>0</v>
      </c>
      <c r="H1416" s="3" t="n">
        <v>0</v>
      </c>
    </row>
    <row r="1417" customFormat="false" ht="14.25" hidden="false" customHeight="true" outlineLevel="0" collapsed="false">
      <c r="A1417" s="1"/>
      <c r="B1417" s="1" t="s">
        <v>1550</v>
      </c>
      <c r="C1417" s="1" t="n">
        <v>7</v>
      </c>
      <c r="E1417" s="11" t="s">
        <v>12</v>
      </c>
      <c r="F1417" s="11" t="str">
        <f aca="false">IFERROR(__xludf.dummyfunction("GOOGLETRANSLATE(B1417,""en"",""ar"")"),"يخطب")</f>
        <v>يخطب</v>
      </c>
      <c r="G1417" s="3" t="n">
        <v>0</v>
      </c>
      <c r="H1417" s="3" t="n">
        <v>0</v>
      </c>
    </row>
    <row r="1418" customFormat="false" ht="14.25" hidden="false" customHeight="true" outlineLevel="0" collapsed="false">
      <c r="A1418" s="1"/>
      <c r="B1418" s="1" t="s">
        <v>1551</v>
      </c>
      <c r="C1418" s="1" t="n">
        <v>7</v>
      </c>
      <c r="E1418" s="11" t="s">
        <v>79</v>
      </c>
      <c r="F1418" s="11" t="str">
        <f aca="false">IFERROR(__xludf.dummyfunction("GOOGLETRANSLATE(B1418,""en"",""ar"")"),"محرك")</f>
        <v>محرك</v>
      </c>
      <c r="G1418" s="3" t="n">
        <v>0</v>
      </c>
      <c r="H1418" s="3" t="n">
        <v>0</v>
      </c>
    </row>
    <row r="1419" customFormat="false" ht="14.25" hidden="false" customHeight="true" outlineLevel="0" collapsed="false">
      <c r="A1419" s="1"/>
      <c r="B1419" s="1" t="s">
        <v>1552</v>
      </c>
      <c r="C1419" s="1" t="n">
        <v>7</v>
      </c>
      <c r="E1419" s="11" t="s">
        <v>12</v>
      </c>
      <c r="F1419" s="11" t="str">
        <f aca="false">IFERROR(__xludf.dummyfunction("GOOGLETRANSLATE(B1419,""en"",""ar"")"),"تحسين")</f>
        <v>تحسين</v>
      </c>
      <c r="G1419" s="3" t="n">
        <v>0</v>
      </c>
      <c r="H1419" s="3" t="n">
        <v>0</v>
      </c>
    </row>
    <row r="1420" customFormat="false" ht="14.25" hidden="false" customHeight="true" outlineLevel="0" collapsed="false">
      <c r="A1420" s="1"/>
      <c r="B1420" s="1" t="s">
        <v>1553</v>
      </c>
      <c r="C1420" s="1" t="n">
        <v>7</v>
      </c>
      <c r="E1420" s="11" t="s">
        <v>12</v>
      </c>
      <c r="F1420" s="11" t="str">
        <f aca="false">IFERROR(__xludf.dummyfunction("GOOGLETRANSLATE(B1420,""en"",""ar"")"),"يفحص")</f>
        <v>يفحص</v>
      </c>
      <c r="G1420" s="3" t="n">
        <v>0</v>
      </c>
      <c r="H1420" s="3" t="n">
        <v>0</v>
      </c>
    </row>
    <row r="1421" customFormat="false" ht="14.25" hidden="false" customHeight="true" outlineLevel="0" collapsed="false">
      <c r="A1421" s="1"/>
      <c r="B1421" s="1" t="n">
        <f aca="false">FALSE()</f>
        <v>0</v>
      </c>
      <c r="C1421" s="1" t="n">
        <v>7</v>
      </c>
      <c r="E1421" s="11" t="s">
        <v>1554</v>
      </c>
      <c r="F1421" s="11" t="str">
        <f aca="false">IFERROR(__xludf.dummyfunction("GOOGLETRANSLATE(B1421,""en"",""ar"")"),"خاطئة")</f>
        <v>خاطئة</v>
      </c>
      <c r="G1421" s="3" t="n">
        <v>0</v>
      </c>
      <c r="H1421" s="3" t="n">
        <v>0</v>
      </c>
    </row>
    <row r="1422" customFormat="false" ht="14.25" hidden="false" customHeight="true" outlineLevel="0" collapsed="false">
      <c r="A1422" s="1"/>
      <c r="B1422" s="1" t="s">
        <v>1555</v>
      </c>
      <c r="C1422" s="1" t="n">
        <v>7</v>
      </c>
      <c r="E1422" s="11" t="s">
        <v>1205</v>
      </c>
      <c r="F1422" s="11" t="str">
        <f aca="false">IFERROR(__xludf.dummyfunction("GOOGLETRANSLATE(B1422,""en"",""ar"")"),"تغذية")</f>
        <v>تغذية</v>
      </c>
      <c r="G1422" s="3" t="n">
        <v>0</v>
      </c>
      <c r="H1422" s="3" t="n">
        <v>0</v>
      </c>
    </row>
    <row r="1423" customFormat="false" ht="14.25" hidden="false" customHeight="true" outlineLevel="0" collapsed="false">
      <c r="A1423" s="1"/>
      <c r="B1423" s="1" t="s">
        <v>1556</v>
      </c>
      <c r="C1423" s="1" t="n">
        <v>7</v>
      </c>
      <c r="E1423" s="11" t="s">
        <v>79</v>
      </c>
      <c r="F1423" s="11" t="str">
        <f aca="false">IFERROR(__xludf.dummyfunction("GOOGLETRANSLATE(B1423,""en"",""ar"")"),"كرة القدم")</f>
        <v>كرة القدم</v>
      </c>
      <c r="G1423" s="3" t="n">
        <v>0</v>
      </c>
      <c r="H1423" s="3" t="n">
        <v>0</v>
      </c>
    </row>
    <row r="1424" customFormat="false" ht="14.25" hidden="false" customHeight="true" outlineLevel="0" collapsed="false">
      <c r="A1424" s="1"/>
      <c r="B1424" s="1" t="s">
        <v>1557</v>
      </c>
      <c r="C1424" s="1" t="n">
        <v>7</v>
      </c>
      <c r="E1424" s="11" t="s">
        <v>1558</v>
      </c>
      <c r="F1424" s="11" t="str">
        <f aca="false">IFERROR(__xludf.dummyfunction("GOOGLETRANSLATE(B1424,""en"",""ar"")"),"إلى الأبد")</f>
        <v>إلى الأبد</v>
      </c>
      <c r="G1424" s="3" t="n">
        <v>0</v>
      </c>
      <c r="H1424" s="3" t="n">
        <v>0</v>
      </c>
    </row>
    <row r="1425" customFormat="false" ht="14.25" hidden="false" customHeight="true" outlineLevel="0" collapsed="false">
      <c r="A1425" s="1"/>
      <c r="B1425" s="1" t="s">
        <v>1559</v>
      </c>
      <c r="C1425" s="1" t="n">
        <v>7</v>
      </c>
      <c r="E1425" s="11" t="s">
        <v>148</v>
      </c>
      <c r="F1425" s="11" t="str">
        <f aca="false">IFERROR(__xludf.dummyfunction("GOOGLETRANSLATE(B1425,""en"",""ar"")"),"ذهب")</f>
        <v>ذهب</v>
      </c>
      <c r="G1425" s="3" t="n">
        <v>0</v>
      </c>
      <c r="H1425" s="3" t="n">
        <v>0</v>
      </c>
    </row>
    <row r="1426" customFormat="false" ht="14.25" hidden="false" customHeight="true" outlineLevel="0" collapsed="false">
      <c r="A1426" s="1"/>
      <c r="B1426" s="1" t="s">
        <v>1560</v>
      </c>
      <c r="C1426" s="1" t="n">
        <v>7</v>
      </c>
      <c r="E1426" s="11" t="s">
        <v>79</v>
      </c>
      <c r="F1426" s="11" t="str">
        <f aca="false">IFERROR(__xludf.dummyfunction("GOOGLETRANSLATE(B1426,""en"",""ar"")"),"إرشاد")</f>
        <v>إرشاد</v>
      </c>
      <c r="G1426" s="3" t="n">
        <v>0</v>
      </c>
      <c r="H1426" s="3" t="n">
        <v>0</v>
      </c>
    </row>
    <row r="1427" customFormat="false" ht="14.25" hidden="false" customHeight="true" outlineLevel="0" collapsed="false">
      <c r="A1427" s="1"/>
      <c r="B1427" s="1" t="s">
        <v>1561</v>
      </c>
      <c r="C1427" s="1" t="n">
        <v>7</v>
      </c>
      <c r="E1427" s="11" t="s">
        <v>79</v>
      </c>
      <c r="F1427" s="11" t="str">
        <f aca="false">IFERROR(__xludf.dummyfunction("GOOGLETRANSLATE(B1427,""en"",""ar"")"),"الفندق")</f>
        <v>الفندق</v>
      </c>
      <c r="G1427" s="3" t="n">
        <v>0</v>
      </c>
      <c r="H1427" s="3" t="n">
        <v>0</v>
      </c>
    </row>
    <row r="1428" customFormat="false" ht="14.25" hidden="false" customHeight="true" outlineLevel="0" collapsed="false">
      <c r="A1428" s="1"/>
      <c r="B1428" s="1" t="s">
        <v>1562</v>
      </c>
      <c r="C1428" s="1" t="n">
        <v>7</v>
      </c>
      <c r="E1428" s="11" t="s">
        <v>94</v>
      </c>
      <c r="F1428" s="11" t="str">
        <f aca="false">IFERROR(__xludf.dummyfunction("GOOGLETRANSLATE(B1428,""en"",""ar"")"),"اعجاب")</f>
        <v>اعجاب</v>
      </c>
      <c r="G1428" s="3" t="n">
        <v>0</v>
      </c>
      <c r="H1428" s="3" t="n">
        <v>0</v>
      </c>
    </row>
    <row r="1429" customFormat="false" ht="14.25" hidden="false" customHeight="true" outlineLevel="0" collapsed="false">
      <c r="A1429" s="1"/>
      <c r="B1429" s="1" t="s">
        <v>1563</v>
      </c>
      <c r="C1429" s="1" t="n">
        <v>7</v>
      </c>
      <c r="E1429" s="11" t="s">
        <v>12</v>
      </c>
      <c r="F1429" s="11" t="str">
        <f aca="false">IFERROR(__xludf.dummyfunction("GOOGLETRANSLATE(B1429,""en"",""ar"")"),"تثبيت")</f>
        <v>تثبيت</v>
      </c>
      <c r="G1429" s="3" t="n">
        <v>0</v>
      </c>
      <c r="H1429" s="3" t="n">
        <v>0</v>
      </c>
    </row>
    <row r="1430" customFormat="false" ht="14.25" hidden="false" customHeight="true" outlineLevel="0" collapsed="false">
      <c r="A1430" s="1"/>
      <c r="B1430" s="1" t="s">
        <v>1564</v>
      </c>
      <c r="C1430" s="1" t="n">
        <v>7</v>
      </c>
      <c r="E1430" s="11" t="s">
        <v>119</v>
      </c>
      <c r="F1430" s="11" t="str">
        <f aca="false">IFERROR(__xludf.dummyfunction("GOOGLETRANSLATE(B1430,""en"",""ar"")"),"مقابلة")</f>
        <v>مقابلة</v>
      </c>
      <c r="G1430" s="3" t="n">
        <v>0</v>
      </c>
      <c r="H1430" s="3" t="n">
        <v>0</v>
      </c>
    </row>
    <row r="1431" customFormat="false" ht="14.25" hidden="false" customHeight="true" outlineLevel="0" collapsed="false">
      <c r="A1431" s="1"/>
      <c r="B1431" s="1" t="s">
        <v>1565</v>
      </c>
      <c r="C1431" s="1" t="n">
        <v>7</v>
      </c>
      <c r="E1431" s="11" t="s">
        <v>128</v>
      </c>
      <c r="F1431" s="11" t="str">
        <f aca="false">IFERROR(__xludf.dummyfunction("GOOGLETRANSLATE(B1431,""en"",""ar"")"),"طفل")</f>
        <v>طفل</v>
      </c>
      <c r="G1431" s="3" t="n">
        <v>0</v>
      </c>
      <c r="H1431" s="3" t="n">
        <v>0</v>
      </c>
    </row>
    <row r="1432" customFormat="false" ht="14.25" hidden="false" customHeight="true" outlineLevel="0" collapsed="false">
      <c r="A1432" s="1"/>
      <c r="B1432" s="1" t="s">
        <v>1566</v>
      </c>
      <c r="C1432" s="1" t="n">
        <v>7</v>
      </c>
      <c r="E1432" s="11" t="s">
        <v>1210</v>
      </c>
      <c r="F1432" s="11" t="str">
        <f aca="false">IFERROR(__xludf.dummyfunction("GOOGLETRANSLATE(B1432,""en"",""ar"")"),"علامة")</f>
        <v>علامة</v>
      </c>
      <c r="G1432" s="3" t="n">
        <v>0</v>
      </c>
      <c r="H1432" s="3" t="n">
        <v>0</v>
      </c>
    </row>
    <row r="1433" customFormat="false" ht="14.25" hidden="false" customHeight="true" outlineLevel="0" collapsed="false">
      <c r="A1433" s="1"/>
      <c r="B1433" s="1" t="s">
        <v>1567</v>
      </c>
      <c r="C1433" s="1" t="n">
        <v>7</v>
      </c>
      <c r="E1433" s="11" t="s">
        <v>119</v>
      </c>
      <c r="F1433" s="11" t="str">
        <f aca="false">IFERROR(__xludf.dummyfunction("GOOGLETRANSLATE(B1433,""en"",""ar"")"),"تطابق")</f>
        <v>تطابق</v>
      </c>
      <c r="G1433" s="3" t="n">
        <v>0</v>
      </c>
      <c r="H1433" s="3" t="n">
        <v>0</v>
      </c>
    </row>
    <row r="1434" customFormat="false" ht="14.25" hidden="false" customHeight="true" outlineLevel="0" collapsed="false">
      <c r="A1434" s="1"/>
      <c r="B1434" s="1" t="s">
        <v>1568</v>
      </c>
      <c r="C1434" s="1" t="n">
        <v>7</v>
      </c>
      <c r="E1434" s="11" t="s">
        <v>148</v>
      </c>
      <c r="F1434" s="11" t="str">
        <f aca="false">IFERROR(__xludf.dummyfunction("GOOGLETRANSLATE(B1434,""en"",""ar"")"),"مهمة")</f>
        <v>مهمة</v>
      </c>
      <c r="G1434" s="3" t="n">
        <v>0</v>
      </c>
      <c r="H1434" s="3" t="n">
        <v>0</v>
      </c>
    </row>
    <row r="1435" customFormat="false" ht="14.25" hidden="false" customHeight="true" outlineLevel="0" collapsed="false">
      <c r="A1435" s="1"/>
      <c r="B1435" s="1" t="s">
        <v>1569</v>
      </c>
      <c r="C1435" s="1" t="n">
        <v>7</v>
      </c>
      <c r="E1435" s="11" t="s">
        <v>14</v>
      </c>
      <c r="F1435" s="11" t="str">
        <f aca="false">IFERROR(__xludf.dummyfunction("GOOGLETRANSLATE(B1435,""en"",""ar"")"),"لا أحد")</f>
        <v>لا أحد</v>
      </c>
      <c r="G1435" s="3" t="n">
        <v>0</v>
      </c>
      <c r="H1435" s="3" t="n">
        <v>0</v>
      </c>
    </row>
    <row r="1436" customFormat="false" ht="14.25" hidden="false" customHeight="true" outlineLevel="0" collapsed="false">
      <c r="A1436" s="1"/>
      <c r="B1436" s="1" t="s">
        <v>1570</v>
      </c>
      <c r="C1436" s="1" t="n">
        <v>7</v>
      </c>
      <c r="E1436" s="11" t="s">
        <v>112</v>
      </c>
      <c r="F1436" s="11" t="str">
        <f aca="false">IFERROR(__xludf.dummyfunction("GOOGLETRANSLATE(B1436,""en"",""ar"")"),"بديهي")</f>
        <v>بديهي</v>
      </c>
      <c r="G1436" s="3" t="n">
        <v>0</v>
      </c>
      <c r="H1436" s="3" t="n">
        <v>0</v>
      </c>
    </row>
    <row r="1437" customFormat="false" ht="14.25" hidden="false" customHeight="true" outlineLevel="0" collapsed="false">
      <c r="A1437" s="1"/>
      <c r="B1437" s="1" t="s">
        <v>1571</v>
      </c>
      <c r="C1437" s="1" t="n">
        <v>7</v>
      </c>
      <c r="E1437" s="11" t="s">
        <v>30</v>
      </c>
      <c r="F1437" s="11" t="str">
        <f aca="false">IFERROR(__xludf.dummyfunction("GOOGLETRANSLATE(B1437,""en"",""ar"")"),"أنفسنا")</f>
        <v>أنفسنا</v>
      </c>
      <c r="G1437" s="3" t="n">
        <v>0</v>
      </c>
      <c r="H1437" s="3" t="n">
        <v>0</v>
      </c>
    </row>
    <row r="1438" customFormat="false" ht="14.25" hidden="false" customHeight="true" outlineLevel="0" collapsed="false">
      <c r="A1438" s="1"/>
      <c r="B1438" s="1" t="s">
        <v>1572</v>
      </c>
      <c r="C1438" s="1" t="n">
        <v>7</v>
      </c>
      <c r="E1438" s="11" t="s">
        <v>79</v>
      </c>
      <c r="F1438" s="11" t="str">
        <f aca="false">IFERROR(__xludf.dummyfunction("GOOGLETRANSLATE(B1438,""en"",""ar"")"),"صاحب")</f>
        <v>صاحب</v>
      </c>
      <c r="G1438" s="3" t="n">
        <v>0</v>
      </c>
      <c r="H1438" s="3" t="n">
        <v>0</v>
      </c>
    </row>
    <row r="1439" customFormat="false" ht="14.25" hidden="false" customHeight="true" outlineLevel="0" collapsed="false">
      <c r="A1439" s="1"/>
      <c r="B1439" s="1" t="s">
        <v>1573</v>
      </c>
      <c r="C1439" s="1" t="n">
        <v>7</v>
      </c>
      <c r="E1439" s="11" t="s">
        <v>1210</v>
      </c>
      <c r="F1439" s="11" t="str">
        <f aca="false">IFERROR(__xludf.dummyfunction("GOOGLETRANSLATE(B1439,""en"",""ar"")"),"الم")</f>
        <v>الم</v>
      </c>
      <c r="G1439" s="3" t="n">
        <v>0</v>
      </c>
      <c r="H1439" s="3" t="n">
        <v>0</v>
      </c>
    </row>
    <row r="1440" customFormat="false" ht="14.25" hidden="false" customHeight="true" outlineLevel="0" collapsed="false">
      <c r="A1440" s="1"/>
      <c r="B1440" s="1" t="s">
        <v>1574</v>
      </c>
      <c r="C1440" s="1" t="n">
        <v>7</v>
      </c>
      <c r="E1440" s="11" t="s">
        <v>12</v>
      </c>
      <c r="F1440" s="11" t="str">
        <f aca="false">IFERROR(__xludf.dummyfunction("GOOGLETRANSLATE(B1440,""en"",""ar"")"),"يشارك")</f>
        <v>يشارك</v>
      </c>
      <c r="G1440" s="3" t="n">
        <v>0</v>
      </c>
      <c r="H1440" s="3" t="n">
        <v>0</v>
      </c>
    </row>
    <row r="1441" customFormat="false" ht="14.25" hidden="false" customHeight="true" outlineLevel="0" collapsed="false">
      <c r="A1441" s="1"/>
      <c r="B1441" s="1" t="s">
        <v>1575</v>
      </c>
      <c r="C1441" s="1" t="n">
        <v>7</v>
      </c>
      <c r="E1441" s="11" t="s">
        <v>119</v>
      </c>
      <c r="F1441" s="11" t="str">
        <f aca="false">IFERROR(__xludf.dummyfunction("GOOGLETRANSLATE(B1441,""en"",""ar"")"),"بكل سرور")</f>
        <v>بكل سرور</v>
      </c>
      <c r="G1441" s="3" t="n">
        <v>0</v>
      </c>
      <c r="H1441" s="3" t="n">
        <v>0</v>
      </c>
    </row>
    <row r="1442" customFormat="false" ht="14.25" hidden="false" customHeight="true" outlineLevel="0" collapsed="false">
      <c r="A1442" s="1"/>
      <c r="B1442" s="1" t="s">
        <v>1576</v>
      </c>
      <c r="C1442" s="1" t="n">
        <v>7</v>
      </c>
      <c r="E1442" s="11" t="s">
        <v>79</v>
      </c>
      <c r="F1442" s="11" t="str">
        <f aca="false">IFERROR(__xludf.dummyfunction("GOOGLETRANSLATE(B1442,""en"",""ar"")"),"أفضلية")</f>
        <v>أفضلية</v>
      </c>
      <c r="G1442" s="3" t="n">
        <v>0</v>
      </c>
      <c r="H1442" s="3" t="n">
        <v>0</v>
      </c>
    </row>
    <row r="1443" customFormat="false" ht="14.25" hidden="false" customHeight="true" outlineLevel="0" collapsed="false">
      <c r="A1443" s="1"/>
      <c r="B1443" s="1" t="s">
        <v>1577</v>
      </c>
      <c r="C1443" s="1" t="n">
        <v>7</v>
      </c>
      <c r="E1443" s="11" t="s">
        <v>79</v>
      </c>
      <c r="F1443" s="11" t="str">
        <f aca="false">IFERROR(__xludf.dummyfunction("GOOGLETRANSLATE(B1443,""en"",""ar"")"),"الحماية")</f>
        <v>الحماية</v>
      </c>
      <c r="G1443" s="3" t="n">
        <v>0</v>
      </c>
      <c r="H1443" s="3" t="n">
        <v>0</v>
      </c>
    </row>
    <row r="1444" customFormat="false" ht="14.25" hidden="false" customHeight="true" outlineLevel="0" collapsed="false">
      <c r="A1444" s="1"/>
      <c r="B1444" s="1" t="s">
        <v>1578</v>
      </c>
      <c r="C1444" s="1" t="n">
        <v>7</v>
      </c>
      <c r="E1444" s="11" t="s">
        <v>94</v>
      </c>
      <c r="F1444" s="11" t="str">
        <f aca="false">IFERROR(__xludf.dummyfunction("GOOGLETRANSLATE(B1444,""en"",""ar"")"),"كرر")</f>
        <v>كرر</v>
      </c>
      <c r="G1444" s="3" t="n">
        <v>0</v>
      </c>
      <c r="H1444" s="3" t="n">
        <v>0</v>
      </c>
    </row>
    <row r="1445" customFormat="false" ht="14.25" hidden="false" customHeight="true" outlineLevel="0" collapsed="false">
      <c r="A1445" s="1"/>
      <c r="B1445" s="1" t="s">
        <v>1579</v>
      </c>
      <c r="C1445" s="1" t="n">
        <v>7</v>
      </c>
      <c r="E1445" s="11" t="s">
        <v>207</v>
      </c>
      <c r="F1445" s="11" t="str">
        <f aca="false">IFERROR(__xludf.dummyfunction("GOOGLETRANSLATE(B1445,""en"",""ar"")"),"مستدير - كروي")</f>
        <v>مستدير - كروي</v>
      </c>
      <c r="G1445" s="3" t="n">
        <v>0</v>
      </c>
      <c r="H1445" s="3" t="n">
        <v>0</v>
      </c>
    </row>
    <row r="1446" customFormat="false" ht="14.25" hidden="false" customHeight="true" outlineLevel="0" collapsed="false">
      <c r="A1446" s="1"/>
      <c r="B1446" s="1" t="s">
        <v>1580</v>
      </c>
      <c r="C1446" s="1" t="n">
        <v>7</v>
      </c>
      <c r="E1446" s="11" t="s">
        <v>1210</v>
      </c>
      <c r="F1446" s="11" t="str">
        <f aca="false">IFERROR(__xludf.dummyfunction("GOOGLETRANSLATE(B1446,""en"",""ar"")"),"نتيجة")</f>
        <v>نتيجة</v>
      </c>
      <c r="G1446" s="3" t="n">
        <v>0</v>
      </c>
      <c r="H1446" s="3" t="n">
        <v>0</v>
      </c>
    </row>
    <row r="1447" customFormat="false" ht="14.25" hidden="false" customHeight="true" outlineLevel="0" collapsed="false">
      <c r="A1447" s="1"/>
      <c r="B1447" s="1" t="s">
        <v>1581</v>
      </c>
      <c r="C1447" s="1" t="n">
        <v>7</v>
      </c>
      <c r="E1447" s="11" t="s">
        <v>1210</v>
      </c>
      <c r="F1447" s="11" t="str">
        <f aca="false">IFERROR(__xludf.dummyfunction("GOOGLETRANSLATE(B1447,""en"",""ar"")"),"أفسد")</f>
        <v>أفسد</v>
      </c>
      <c r="G1447" s="3" t="n">
        <v>0</v>
      </c>
      <c r="H1447" s="3" t="n">
        <v>0</v>
      </c>
    </row>
    <row r="1448" customFormat="false" ht="14.25" hidden="false" customHeight="true" outlineLevel="0" collapsed="false">
      <c r="A1448" s="1"/>
      <c r="B1448" s="1" t="s">
        <v>1582</v>
      </c>
      <c r="C1448" s="1" t="n">
        <v>7</v>
      </c>
      <c r="E1448" s="11" t="s">
        <v>1262</v>
      </c>
      <c r="F1448" s="11" t="str">
        <f aca="false">IFERROR(__xludf.dummyfunction("GOOGLETRANSLATE(B1448,""en"",""ar"")"),"يطلب")</f>
        <v>يطلب</v>
      </c>
      <c r="G1448" s="3" t="n">
        <v>0</v>
      </c>
      <c r="H1448" s="3" t="n">
        <v>0</v>
      </c>
    </row>
    <row r="1449" customFormat="false" ht="14.25" hidden="false" customHeight="true" outlineLevel="0" collapsed="false">
      <c r="A1449" s="1"/>
      <c r="B1449" s="1" t="s">
        <v>1583</v>
      </c>
      <c r="C1449" s="1" t="n">
        <v>7</v>
      </c>
      <c r="E1449" s="11" t="s">
        <v>1210</v>
      </c>
      <c r="F1449" s="11" t="str">
        <f aca="false">IFERROR(__xludf.dummyfunction("GOOGLETRANSLATE(B1449,""en"",""ar"")"),"جنس")</f>
        <v>جنس</v>
      </c>
      <c r="G1449" s="3" t="n">
        <v>0</v>
      </c>
      <c r="H1449" s="3" t="n">
        <v>0</v>
      </c>
    </row>
    <row r="1450" customFormat="false" ht="14.25" hidden="false" customHeight="true" outlineLevel="0" collapsed="false">
      <c r="A1450" s="1"/>
      <c r="B1450" s="1" t="s">
        <v>1584</v>
      </c>
      <c r="C1450" s="1" t="n">
        <v>7</v>
      </c>
      <c r="E1450" s="11" t="s">
        <v>1402</v>
      </c>
      <c r="F1450" s="11" t="str">
        <f aca="false">IFERROR(__xludf.dummyfunction("GOOGLETRANSLATE(B1450,""en"",""ar"")"),"حاد")</f>
        <v>حاد</v>
      </c>
      <c r="G1450" s="3" t="n">
        <v>0</v>
      </c>
      <c r="H1450" s="3" t="n">
        <v>0</v>
      </c>
    </row>
    <row r="1451" customFormat="false" ht="14.25" hidden="false" customHeight="true" outlineLevel="0" collapsed="false">
      <c r="A1451" s="1"/>
      <c r="B1451" s="1" t="s">
        <v>1585</v>
      </c>
      <c r="C1451" s="1" t="n">
        <v>7</v>
      </c>
      <c r="E1451" s="11" t="s">
        <v>1586</v>
      </c>
      <c r="F1451" s="11" t="str">
        <f aca="false">IFERROR(__xludf.dummyfunction("GOOGLETRANSLATE(B1451,""en"",""ar"")"),"متجر")</f>
        <v>متجر</v>
      </c>
      <c r="G1451" s="3" t="n">
        <v>0</v>
      </c>
      <c r="H1451" s="3" t="n">
        <v>0</v>
      </c>
    </row>
    <row r="1452" customFormat="false" ht="14.25" hidden="false" customHeight="true" outlineLevel="0" collapsed="false">
      <c r="A1452" s="1"/>
      <c r="B1452" s="1" t="s">
        <v>1587</v>
      </c>
      <c r="C1452" s="1" t="n">
        <v>7</v>
      </c>
      <c r="E1452" s="11" t="s">
        <v>1210</v>
      </c>
      <c r="F1452" s="11" t="str">
        <f aca="false">IFERROR(__xludf.dummyfunction("GOOGLETRANSLATE(B1452,""en"",""ar"")"),"دش")</f>
        <v>دش</v>
      </c>
      <c r="G1452" s="3" t="n">
        <v>0</v>
      </c>
      <c r="H1452" s="3" t="n">
        <v>0</v>
      </c>
    </row>
    <row r="1453" customFormat="false" ht="14.25" hidden="false" customHeight="true" outlineLevel="0" collapsed="false">
      <c r="A1453" s="1"/>
      <c r="B1453" s="1" t="s">
        <v>1588</v>
      </c>
      <c r="C1453" s="1" t="n">
        <v>7</v>
      </c>
      <c r="E1453" s="11" t="s">
        <v>94</v>
      </c>
      <c r="F1453" s="11" t="str">
        <f aca="false">IFERROR(__xludf.dummyfunction("GOOGLETRANSLATE(B1453,""en"",""ar"")"),"يغني")</f>
        <v>يغني</v>
      </c>
      <c r="G1453" s="3" t="n">
        <v>0</v>
      </c>
      <c r="H1453" s="3" t="n">
        <v>0</v>
      </c>
    </row>
    <row r="1454" customFormat="false" ht="14.25" hidden="false" customHeight="true" outlineLevel="0" collapsed="false">
      <c r="A1454" s="1"/>
      <c r="B1454" s="1" t="s">
        <v>1589</v>
      </c>
      <c r="C1454" s="1" t="n">
        <v>7</v>
      </c>
      <c r="E1454" s="11" t="s">
        <v>1205</v>
      </c>
      <c r="F1454" s="11" t="str">
        <f aca="false">IFERROR(__xludf.dummyfunction("GOOGLETRANSLATE(B1454,""en"",""ar"")"),"الانزلاق")</f>
        <v>الانزلاق</v>
      </c>
      <c r="G1454" s="3" t="n">
        <v>0</v>
      </c>
      <c r="H1454" s="3" t="n">
        <v>0</v>
      </c>
    </row>
    <row r="1455" customFormat="false" ht="14.25" hidden="false" customHeight="true" outlineLevel="0" collapsed="false">
      <c r="A1455" s="1"/>
      <c r="B1455" s="1" t="s">
        <v>1590</v>
      </c>
      <c r="C1455" s="1" t="n">
        <v>7</v>
      </c>
      <c r="E1455" s="11" t="s">
        <v>94</v>
      </c>
      <c r="F1455" s="11" t="str">
        <f aca="false">IFERROR(__xludf.dummyfunction("GOOGLETRANSLATE(B1455,""en"",""ar"")"),"قطاع")</f>
        <v>قطاع</v>
      </c>
      <c r="G1455" s="3" t="n">
        <v>0</v>
      </c>
      <c r="H1455" s="3" t="n">
        <v>0</v>
      </c>
    </row>
    <row r="1456" customFormat="false" ht="14.25" hidden="false" customHeight="true" outlineLevel="0" collapsed="false">
      <c r="A1456" s="1"/>
      <c r="B1456" s="1" t="s">
        <v>1591</v>
      </c>
      <c r="C1456" s="1" t="n">
        <v>7</v>
      </c>
      <c r="E1456" s="11" t="s">
        <v>79</v>
      </c>
      <c r="F1456" s="11" t="str">
        <f aca="false">IFERROR(__xludf.dummyfunction("GOOGLETRANSLATE(B1456,""en"",""ar"")"),"اقتراح")</f>
        <v>اقتراح</v>
      </c>
      <c r="G1456" s="3" t="n">
        <v>0</v>
      </c>
      <c r="H1456" s="3" t="n">
        <v>0</v>
      </c>
    </row>
    <row r="1457" customFormat="false" ht="14.25" hidden="false" customHeight="true" outlineLevel="0" collapsed="false">
      <c r="A1457" s="1"/>
      <c r="B1457" s="1" t="s">
        <v>1592</v>
      </c>
      <c r="C1457" s="1" t="n">
        <v>7</v>
      </c>
      <c r="E1457" s="11" t="s">
        <v>1210</v>
      </c>
      <c r="F1457" s="11" t="str">
        <f aca="false">IFERROR(__xludf.dummyfunction("GOOGLETRANSLATE(B1457,""en"",""ar"")"),"تناسب")</f>
        <v>تناسب</v>
      </c>
      <c r="G1457" s="3" t="n">
        <v>0</v>
      </c>
      <c r="H1457" s="3" t="n">
        <v>0</v>
      </c>
    </row>
    <row r="1458" customFormat="false" ht="14.25" hidden="false" customHeight="true" outlineLevel="0" collapsed="false">
      <c r="A1458" s="1"/>
      <c r="B1458" s="1" t="s">
        <v>1593</v>
      </c>
      <c r="C1458" s="1" t="n">
        <v>7</v>
      </c>
      <c r="E1458" s="11" t="s">
        <v>79</v>
      </c>
      <c r="F1458" s="11" t="str">
        <f aca="false">IFERROR(__xludf.dummyfunction("GOOGLETRANSLATE(B1458,""en"",""ar"")"),"توتر")</f>
        <v>توتر</v>
      </c>
      <c r="G1458" s="3" t="n">
        <v>0</v>
      </c>
      <c r="H1458" s="3" t="n">
        <v>0</v>
      </c>
    </row>
    <row r="1459" customFormat="false" ht="14.25" hidden="false" customHeight="true" outlineLevel="0" collapsed="false">
      <c r="A1459" s="1"/>
      <c r="B1459" s="1" t="s">
        <v>1594</v>
      </c>
      <c r="C1459" s="1" t="n">
        <v>7</v>
      </c>
      <c r="E1459" s="11" t="s">
        <v>1272</v>
      </c>
      <c r="F1459" s="11" t="str">
        <f aca="false">IFERROR(__xludf.dummyfunction("GOOGLETRANSLATE(B1459,""en"",""ar"")"),"سميك")</f>
        <v>سميك</v>
      </c>
      <c r="G1459" s="3" t="n">
        <v>0</v>
      </c>
      <c r="H1459" s="3" t="n">
        <v>0</v>
      </c>
    </row>
    <row r="1460" customFormat="false" ht="14.25" hidden="false" customHeight="true" outlineLevel="0" collapsed="false">
      <c r="A1460" s="1"/>
      <c r="B1460" s="1" t="s">
        <v>1595</v>
      </c>
      <c r="C1460" s="1" t="n">
        <v>7</v>
      </c>
      <c r="E1460" s="11" t="s">
        <v>119</v>
      </c>
      <c r="F1460" s="11" t="str">
        <f aca="false">IFERROR(__xludf.dummyfunction("GOOGLETRANSLATE(B1460,""en"",""ar"")"),"نغمة")</f>
        <v>نغمة</v>
      </c>
      <c r="G1460" s="3" t="n">
        <v>0</v>
      </c>
      <c r="H1460" s="3" t="n">
        <v>0</v>
      </c>
    </row>
    <row r="1461" customFormat="false" ht="14.25" hidden="false" customHeight="true" outlineLevel="0" collapsed="false">
      <c r="A1461" s="1"/>
      <c r="B1461" s="1" t="s">
        <v>1596</v>
      </c>
      <c r="C1461" s="1" t="n">
        <v>7</v>
      </c>
      <c r="E1461" s="11" t="s">
        <v>42</v>
      </c>
      <c r="F1461" s="11" t="str">
        <f aca="false">IFERROR(__xludf.dummyfunction("GOOGLETRANSLATE(B1461,""en"",""ar"")"),"تماما")</f>
        <v>تماما</v>
      </c>
      <c r="G1461" s="3" t="n">
        <v>0</v>
      </c>
      <c r="H1461" s="3" t="n">
        <v>0</v>
      </c>
    </row>
    <row r="1462" customFormat="false" ht="14.25" hidden="false" customHeight="true" outlineLevel="0" collapsed="false">
      <c r="A1462" s="1"/>
      <c r="B1462" s="1" t="s">
        <v>1597</v>
      </c>
      <c r="C1462" s="1" t="n">
        <v>7</v>
      </c>
      <c r="E1462" s="11" t="s">
        <v>42</v>
      </c>
      <c r="F1462" s="11" t="str">
        <f aca="false">IFERROR(__xludf.dummyfunction("GOOGLETRANSLATE(B1462,""en"",""ar"")"),"مرتين")</f>
        <v>مرتين</v>
      </c>
      <c r="G1462" s="3" t="n">
        <v>0</v>
      </c>
      <c r="H1462" s="3" t="n">
        <v>0</v>
      </c>
    </row>
    <row r="1463" customFormat="false" ht="14.25" hidden="false" customHeight="true" outlineLevel="0" collapsed="false">
      <c r="A1463" s="1"/>
      <c r="B1463" s="1" t="s">
        <v>1598</v>
      </c>
      <c r="C1463" s="1" t="n">
        <v>7</v>
      </c>
      <c r="E1463" s="11" t="s">
        <v>79</v>
      </c>
      <c r="F1463" s="11" t="str">
        <f aca="false">IFERROR(__xludf.dummyfunction("GOOGLETRANSLATE(B1463,""en"",""ar"")"),"الاختلاف")</f>
        <v>الاختلاف</v>
      </c>
      <c r="G1463" s="3" t="n">
        <v>0</v>
      </c>
      <c r="H1463" s="3" t="n">
        <v>0</v>
      </c>
    </row>
    <row r="1464" customFormat="false" ht="14.25" hidden="false" customHeight="true" outlineLevel="0" collapsed="false">
      <c r="A1464" s="1"/>
      <c r="B1464" s="1" t="s">
        <v>1599</v>
      </c>
      <c r="C1464" s="1" t="n">
        <v>7</v>
      </c>
      <c r="E1464" s="11" t="s">
        <v>53</v>
      </c>
      <c r="F1464" s="11" t="str">
        <f aca="false">IFERROR(__xludf.dummyfunction("GOOGLETRANSLATE(B1464,""en"",""ar"")"),"بينما")</f>
        <v>بينما</v>
      </c>
      <c r="G1464" s="3" t="n">
        <v>0</v>
      </c>
      <c r="H1464" s="3" t="n">
        <v>0</v>
      </c>
    </row>
    <row r="1465" customFormat="false" ht="14.25" hidden="false" customHeight="true" outlineLevel="0" collapsed="false">
      <c r="A1465" s="1"/>
      <c r="B1465" s="1" t="s">
        <v>1600</v>
      </c>
      <c r="C1465" s="1" t="n">
        <v>7</v>
      </c>
      <c r="E1465" s="11" t="s">
        <v>119</v>
      </c>
      <c r="F1465" s="11" t="str">
        <f aca="false">IFERROR(__xludf.dummyfunction("GOOGLETRANSLATE(B1465,""en"",""ar"")"),"نافذة او شباك")</f>
        <v>نافذة او شباك</v>
      </c>
      <c r="G1465" s="3" t="n">
        <v>0</v>
      </c>
      <c r="H1465" s="3" t="n">
        <v>0</v>
      </c>
    </row>
    <row r="1466" customFormat="false" ht="14.25" hidden="false" customHeight="true" outlineLevel="0" collapsed="false">
      <c r="A1466" s="1"/>
      <c r="B1466" s="1" t="s">
        <v>1601</v>
      </c>
      <c r="C1466" s="1" t="n">
        <v>7</v>
      </c>
      <c r="E1466" s="11" t="s">
        <v>1336</v>
      </c>
      <c r="F1466" s="11" t="str">
        <f aca="false">IFERROR(__xludf.dummyfunction("GOOGLETRANSLATE(B1466,""en"",""ar"")"),"حكمة")</f>
        <v>حكمة</v>
      </c>
      <c r="G1466" s="3" t="n">
        <v>0</v>
      </c>
      <c r="H1466" s="3" t="n">
        <v>0</v>
      </c>
    </row>
    <row r="1467" customFormat="false" ht="14.25" hidden="false" customHeight="true" outlineLevel="0" collapsed="false">
      <c r="A1467" s="1"/>
      <c r="B1467" s="1" t="s">
        <v>1602</v>
      </c>
      <c r="C1467" s="1" t="n">
        <v>7</v>
      </c>
      <c r="E1467" s="11" t="s">
        <v>94</v>
      </c>
      <c r="F1467" s="11" t="str">
        <f aca="false">IFERROR(__xludf.dummyfunction("GOOGLETRANSLATE(B1467,""en"",""ar"")"),"يتمنى")</f>
        <v>يتمنى</v>
      </c>
      <c r="G1467" s="3" t="n">
        <v>0</v>
      </c>
      <c r="H1467" s="3" t="n">
        <v>0</v>
      </c>
    </row>
    <row r="1468" customFormat="false" ht="14.25" hidden="false" customHeight="true" outlineLevel="0" collapsed="false">
      <c r="A1468" s="1"/>
      <c r="B1468" s="1" t="s">
        <v>1603</v>
      </c>
      <c r="C1468" s="1" t="n">
        <v>6</v>
      </c>
      <c r="E1468" s="11" t="s">
        <v>83</v>
      </c>
      <c r="F1468" s="11" t="str">
        <f aca="false">IFERROR(__xludf.dummyfunction("GOOGLETRANSLATE(B1468,""en"",""ar"")"),"وكيل")</f>
        <v>وكيل</v>
      </c>
      <c r="G1468" s="3" t="n">
        <v>0</v>
      </c>
      <c r="H1468" s="3" t="n">
        <v>0</v>
      </c>
    </row>
    <row r="1469" customFormat="false" ht="14.25" hidden="false" customHeight="true" outlineLevel="0" collapsed="false">
      <c r="A1469" s="1"/>
      <c r="B1469" s="1" t="s">
        <v>1604</v>
      </c>
      <c r="C1469" s="1" t="n">
        <v>6</v>
      </c>
      <c r="E1469" s="11" t="s">
        <v>79</v>
      </c>
      <c r="F1469" s="11" t="str">
        <f aca="false">IFERROR(__xludf.dummyfunction("GOOGLETRANSLATE(B1469,""en"",""ar"")"),"القلق")</f>
        <v>القلق</v>
      </c>
      <c r="G1469" s="3" t="n">
        <v>0</v>
      </c>
      <c r="H1469" s="3" t="n">
        <v>0</v>
      </c>
    </row>
    <row r="1470" customFormat="false" ht="14.25" hidden="false" customHeight="true" outlineLevel="0" collapsed="false">
      <c r="A1470" s="1"/>
      <c r="B1470" s="1" t="s">
        <v>1605</v>
      </c>
      <c r="C1470" s="1" t="n">
        <v>6</v>
      </c>
      <c r="E1470" s="11" t="s">
        <v>79</v>
      </c>
      <c r="F1470" s="11" t="str">
        <f aca="false">IFERROR(__xludf.dummyfunction("GOOGLETRANSLATE(B1470,""en"",""ar"")"),"أجواء")</f>
        <v>أجواء</v>
      </c>
      <c r="G1470" s="3" t="n">
        <v>0</v>
      </c>
      <c r="H1470" s="3" t="n">
        <v>0</v>
      </c>
    </row>
    <row r="1471" customFormat="false" ht="14.25" hidden="false" customHeight="true" outlineLevel="0" collapsed="false">
      <c r="A1471" s="1"/>
      <c r="B1471" s="1" t="s">
        <v>1606</v>
      </c>
      <c r="C1471" s="1" t="n">
        <v>6</v>
      </c>
      <c r="E1471" s="11" t="s">
        <v>79</v>
      </c>
      <c r="F1471" s="11" t="str">
        <f aca="false">IFERROR(__xludf.dummyfunction("GOOGLETRANSLATE(B1471,""en"",""ar"")"),"وعي")</f>
        <v>وعي</v>
      </c>
      <c r="G1471" s="3" t="n">
        <v>0</v>
      </c>
      <c r="H1471" s="3" t="n">
        <v>0</v>
      </c>
    </row>
    <row r="1472" customFormat="false" ht="14.25" hidden="false" customHeight="true" outlineLevel="0" collapsed="false">
      <c r="A1472" s="1"/>
      <c r="B1472" s="1" t="s">
        <v>1607</v>
      </c>
      <c r="C1472" s="1" t="n">
        <v>6</v>
      </c>
      <c r="E1472" s="11" t="s">
        <v>119</v>
      </c>
      <c r="F1472" s="11" t="str">
        <f aca="false">IFERROR(__xludf.dummyfunction("GOOGLETRANSLATE(B1472,""en"",""ar"")"),"حافظة مسافة")</f>
        <v>حافظة مسافة</v>
      </c>
      <c r="G1472" s="3" t="n">
        <v>0</v>
      </c>
      <c r="H1472" s="3" t="n">
        <v>0</v>
      </c>
    </row>
    <row r="1473" customFormat="false" ht="14.25" hidden="false" customHeight="true" outlineLevel="0" collapsed="false">
      <c r="A1473" s="1"/>
      <c r="B1473" s="1" t="s">
        <v>1608</v>
      </c>
      <c r="C1473" s="1" t="n">
        <v>6</v>
      </c>
      <c r="E1473" s="11" t="s">
        <v>79</v>
      </c>
      <c r="F1473" s="11" t="str">
        <f aca="false">IFERROR(__xludf.dummyfunction("GOOGLETRANSLATE(B1473,""en"",""ar"")"),"حمام")</f>
        <v>حمام</v>
      </c>
      <c r="G1473" s="3" t="n">
        <v>0</v>
      </c>
      <c r="H1473" s="3" t="n">
        <v>0</v>
      </c>
    </row>
    <row r="1474" customFormat="false" ht="14.25" hidden="false" customHeight="true" outlineLevel="0" collapsed="false">
      <c r="A1474" s="1"/>
      <c r="B1474" s="1" t="s">
        <v>1609</v>
      </c>
      <c r="C1474" s="1" t="n">
        <v>6</v>
      </c>
      <c r="E1474" s="11" t="s">
        <v>119</v>
      </c>
      <c r="F1474" s="11" t="str">
        <f aca="false">IFERROR(__xludf.dummyfunction("GOOGLETRANSLATE(B1474,""en"",""ar"")"),"منع")</f>
        <v>منع</v>
      </c>
      <c r="G1474" s="3" t="n">
        <v>0</v>
      </c>
      <c r="H1474" s="3" t="n">
        <v>0</v>
      </c>
    </row>
    <row r="1475" customFormat="false" ht="14.25" hidden="false" customHeight="true" outlineLevel="0" collapsed="false">
      <c r="A1475" s="1"/>
      <c r="B1475" s="1" t="s">
        <v>1610</v>
      </c>
      <c r="C1475" s="1" t="n">
        <v>6</v>
      </c>
      <c r="E1475" s="11" t="s">
        <v>239</v>
      </c>
      <c r="F1475" s="11" t="str">
        <f aca="false">IFERROR(__xludf.dummyfunction("GOOGLETRANSLATE(B1475,""en"",""ar"")"),"عظم")</f>
        <v>عظم</v>
      </c>
      <c r="G1475" s="3" t="n">
        <v>0</v>
      </c>
      <c r="H1475" s="3" t="n">
        <v>0</v>
      </c>
    </row>
    <row r="1476" customFormat="false" ht="14.25" hidden="false" customHeight="true" outlineLevel="0" collapsed="false">
      <c r="A1476" s="1"/>
      <c r="B1476" s="1" t="s">
        <v>1611</v>
      </c>
      <c r="C1476" s="1" t="n">
        <v>6</v>
      </c>
      <c r="E1476" s="11" t="s">
        <v>79</v>
      </c>
      <c r="F1476" s="11" t="str">
        <f aca="false">IFERROR(__xludf.dummyfunction("GOOGLETRANSLATE(B1476,""en"",""ar"")"),"خبز")</f>
        <v>خبز</v>
      </c>
      <c r="G1476" s="3" t="n">
        <v>0</v>
      </c>
      <c r="H1476" s="3" t="n">
        <v>0</v>
      </c>
    </row>
    <row r="1477" customFormat="false" ht="14.25" hidden="false" customHeight="true" outlineLevel="0" collapsed="false">
      <c r="A1477" s="1"/>
      <c r="B1477" s="1" t="s">
        <v>1612</v>
      </c>
      <c r="C1477" s="1" t="n">
        <v>6</v>
      </c>
      <c r="E1477" s="11" t="s">
        <v>119</v>
      </c>
      <c r="F1477" s="11" t="str">
        <f aca="false">IFERROR(__xludf.dummyfunction("GOOGLETRANSLATE(B1477,""en"",""ar"")"),"تقويم")</f>
        <v>تقويم</v>
      </c>
      <c r="G1477" s="3" t="n">
        <v>0</v>
      </c>
      <c r="H1477" s="3" t="n">
        <v>0</v>
      </c>
    </row>
    <row r="1478" customFormat="false" ht="14.25" hidden="false" customHeight="true" outlineLevel="0" collapsed="false">
      <c r="A1478" s="1"/>
      <c r="B1478" s="1" t="s">
        <v>1613</v>
      </c>
      <c r="C1478" s="1" t="n">
        <v>6</v>
      </c>
      <c r="E1478" s="11" t="s">
        <v>79</v>
      </c>
      <c r="F1478" s="11" t="str">
        <f aca="false">IFERROR(__xludf.dummyfunction("GOOGLETRANSLATE(B1478,""en"",""ar"")"),"مرشح")</f>
        <v>مرشح</v>
      </c>
      <c r="G1478" s="3" t="n">
        <v>0</v>
      </c>
      <c r="H1478" s="3" t="n">
        <v>0</v>
      </c>
    </row>
    <row r="1479" customFormat="false" ht="14.25" hidden="false" customHeight="true" outlineLevel="0" collapsed="false">
      <c r="A1479" s="1"/>
      <c r="B1479" s="1" t="s">
        <v>1614</v>
      </c>
      <c r="C1479" s="1" t="n">
        <v>6</v>
      </c>
      <c r="E1479" s="11" t="s">
        <v>119</v>
      </c>
      <c r="F1479" s="11" t="str">
        <f aca="false">IFERROR(__xludf.dummyfunction("GOOGLETRANSLATE(B1479,""en"",""ar"")"),"قبعة")</f>
        <v>قبعة</v>
      </c>
      <c r="G1479" s="3" t="n">
        <v>0</v>
      </c>
      <c r="H1479" s="3" t="n">
        <v>0</v>
      </c>
    </row>
    <row r="1480" customFormat="false" ht="14.25" hidden="false" customHeight="true" outlineLevel="0" collapsed="false">
      <c r="A1480" s="1"/>
      <c r="B1480" s="1" t="s">
        <v>1615</v>
      </c>
      <c r="C1480" s="1" t="n">
        <v>6</v>
      </c>
      <c r="E1480" s="11" t="s">
        <v>112</v>
      </c>
      <c r="F1480" s="11" t="str">
        <f aca="false">IFERROR(__xludf.dummyfunction("GOOGLETRANSLATE(B1480,""en"",""ar"")"),"حذر")</f>
        <v>حذر</v>
      </c>
      <c r="G1480" s="3" t="n">
        <v>0</v>
      </c>
      <c r="H1480" s="3" t="n">
        <v>0</v>
      </c>
    </row>
    <row r="1481" customFormat="false" ht="14.25" hidden="false" customHeight="true" outlineLevel="0" collapsed="false">
      <c r="A1481" s="1"/>
      <c r="B1481" s="1" t="s">
        <v>1616</v>
      </c>
      <c r="C1481" s="1" t="n">
        <v>6</v>
      </c>
      <c r="E1481" s="11" t="s">
        <v>79</v>
      </c>
      <c r="F1481" s="11" t="str">
        <f aca="false">IFERROR(__xludf.dummyfunction("GOOGLETRANSLATE(B1481,""en"",""ar"")"),"مناخ")</f>
        <v>مناخ</v>
      </c>
      <c r="G1481" s="3" t="n">
        <v>0</v>
      </c>
      <c r="H1481" s="3" t="n">
        <v>0</v>
      </c>
    </row>
    <row r="1482" customFormat="false" ht="14.25" hidden="false" customHeight="true" outlineLevel="0" collapsed="false">
      <c r="A1482" s="1"/>
      <c r="B1482" s="1" t="s">
        <v>1617</v>
      </c>
      <c r="C1482" s="1" t="n">
        <v>6</v>
      </c>
      <c r="E1482" s="11" t="s">
        <v>119</v>
      </c>
      <c r="F1482" s="11" t="str">
        <f aca="false">IFERROR(__xludf.dummyfunction("GOOGLETRANSLATE(B1482,""en"",""ar"")"),"معطف")</f>
        <v>معطف</v>
      </c>
      <c r="G1482" s="3" t="n">
        <v>0</v>
      </c>
      <c r="H1482" s="3" t="n">
        <v>0</v>
      </c>
    </row>
    <row r="1483" customFormat="false" ht="14.25" hidden="false" customHeight="true" outlineLevel="0" collapsed="false">
      <c r="A1483" s="1"/>
      <c r="B1483" s="1" t="s">
        <v>1618</v>
      </c>
      <c r="C1483" s="1" t="n">
        <v>6</v>
      </c>
      <c r="E1483" s="11" t="s">
        <v>1619</v>
      </c>
      <c r="F1483" s="11" t="str">
        <f aca="false">IFERROR(__xludf.dummyfunction("GOOGLETRANSLATE(B1483,""en"",""ar"")"),"يجمع")</f>
        <v>يجمع</v>
      </c>
      <c r="G1483" s="3" t="n">
        <v>0</v>
      </c>
      <c r="H1483" s="3" t="n">
        <v>0</v>
      </c>
    </row>
    <row r="1484" customFormat="false" ht="14.25" hidden="false" customHeight="true" outlineLevel="0" collapsed="false">
      <c r="A1484" s="1"/>
      <c r="B1484" s="1" t="s">
        <v>1620</v>
      </c>
      <c r="C1484" s="1" t="n">
        <v>6</v>
      </c>
      <c r="E1484" s="11" t="s">
        <v>94</v>
      </c>
      <c r="F1484" s="11" t="str">
        <f aca="false">IFERROR(__xludf.dummyfunction("GOOGLETRANSLATE(B1484,""en"",""ar"")"),"يجمع")</f>
        <v>يجمع</v>
      </c>
      <c r="G1484" s="3" t="n">
        <v>0</v>
      </c>
      <c r="H1484" s="3" t="n">
        <v>0</v>
      </c>
    </row>
    <row r="1485" customFormat="false" ht="14.25" hidden="false" customHeight="true" outlineLevel="0" collapsed="false">
      <c r="A1485" s="1"/>
      <c r="B1485" s="1" t="s">
        <v>1621</v>
      </c>
      <c r="C1485" s="1" t="n">
        <v>6</v>
      </c>
      <c r="E1485" s="11" t="s">
        <v>94</v>
      </c>
      <c r="F1485" s="11" t="str">
        <f aca="false">IFERROR(__xludf.dummyfunction("GOOGLETRANSLATE(B1485,""en"",""ar"")"),"أمر")</f>
        <v>أمر</v>
      </c>
      <c r="G1485" s="3" t="n">
        <v>0</v>
      </c>
      <c r="H1485" s="3" t="n">
        <v>0</v>
      </c>
    </row>
    <row r="1486" customFormat="false" ht="14.25" hidden="false" customHeight="true" outlineLevel="0" collapsed="false">
      <c r="A1486" s="1"/>
      <c r="B1486" s="1" t="s">
        <v>1622</v>
      </c>
      <c r="C1486" s="1" t="n">
        <v>6</v>
      </c>
      <c r="E1486" s="11" t="s">
        <v>79</v>
      </c>
      <c r="F1486" s="11" t="str">
        <f aca="false">IFERROR(__xludf.dummyfunction("GOOGLETRANSLATE(B1486,""en"",""ar"")"),"مقارنة")</f>
        <v>مقارنة</v>
      </c>
      <c r="G1486" s="3" t="n">
        <v>0</v>
      </c>
      <c r="H1486" s="3" t="n">
        <v>0</v>
      </c>
    </row>
    <row r="1487" customFormat="false" ht="14.25" hidden="false" customHeight="true" outlineLevel="0" collapsed="false">
      <c r="A1487" s="1"/>
      <c r="B1487" s="1" t="s">
        <v>1623</v>
      </c>
      <c r="C1487" s="1" t="n">
        <v>6</v>
      </c>
      <c r="E1487" s="11" t="s">
        <v>79</v>
      </c>
      <c r="F1487" s="11" t="str">
        <f aca="false">IFERROR(__xludf.dummyfunction("GOOGLETRANSLATE(B1487,""en"",""ar"")"),"الالتباس")</f>
        <v>الالتباس</v>
      </c>
      <c r="G1487" s="3" t="n">
        <v>0</v>
      </c>
      <c r="H1487" s="3" t="n">
        <v>0</v>
      </c>
    </row>
    <row r="1488" customFormat="false" ht="14.25" hidden="false" customHeight="true" outlineLevel="0" collapsed="false">
      <c r="A1488" s="1"/>
      <c r="B1488" s="1" t="s">
        <v>1624</v>
      </c>
      <c r="C1488" s="1" t="n">
        <v>6</v>
      </c>
      <c r="E1488" s="11" t="s">
        <v>79</v>
      </c>
      <c r="F1488" s="11" t="str">
        <f aca="false">IFERROR(__xludf.dummyfunction("GOOGLETRANSLATE(B1488,""en"",""ar"")"),"اعمال بناء")</f>
        <v>اعمال بناء</v>
      </c>
      <c r="G1488" s="3" t="n">
        <v>0</v>
      </c>
      <c r="H1488" s="3" t="n">
        <v>0</v>
      </c>
    </row>
    <row r="1489" customFormat="false" ht="14.25" hidden="false" customHeight="true" outlineLevel="0" collapsed="false">
      <c r="A1489" s="1"/>
      <c r="B1489" s="1" t="s">
        <v>1625</v>
      </c>
      <c r="C1489" s="1" t="n">
        <v>6</v>
      </c>
      <c r="E1489" s="11" t="s">
        <v>119</v>
      </c>
      <c r="F1489" s="11" t="str">
        <f aca="false">IFERROR(__xludf.dummyfunction("GOOGLETRANSLATE(B1489,""en"",""ar"")"),"منافسة")</f>
        <v>منافسة</v>
      </c>
      <c r="G1489" s="3" t="n">
        <v>0</v>
      </c>
      <c r="H1489" s="3" t="n">
        <v>0</v>
      </c>
    </row>
    <row r="1490" customFormat="false" ht="14.25" hidden="false" customHeight="true" outlineLevel="0" collapsed="false">
      <c r="A1490" s="1"/>
      <c r="B1490" s="1" t="s">
        <v>1626</v>
      </c>
      <c r="C1490" s="1" t="n">
        <v>6</v>
      </c>
      <c r="E1490" s="11" t="s">
        <v>1283</v>
      </c>
      <c r="F1490" s="11" t="str">
        <f aca="false">IFERROR(__xludf.dummyfunction("GOOGLETRANSLATE(B1490,""en"",""ar"")"),"ركن")</f>
        <v>ركن</v>
      </c>
      <c r="G1490" s="3" t="n">
        <v>0</v>
      </c>
      <c r="H1490" s="3" t="n">
        <v>0</v>
      </c>
    </row>
    <row r="1491" customFormat="false" ht="14.25" hidden="false" customHeight="true" outlineLevel="0" collapsed="false">
      <c r="A1491" s="1"/>
      <c r="B1491" s="1" t="s">
        <v>1627</v>
      </c>
      <c r="C1491" s="1" t="n">
        <v>6</v>
      </c>
      <c r="E1491" s="11" t="s">
        <v>1210</v>
      </c>
      <c r="F1491" s="11" t="str">
        <f aca="false">IFERROR(__xludf.dummyfunction("GOOGLETRANSLATE(B1491,""en"",""ar"")"),"ملعب تنس")</f>
        <v>ملعب تنس</v>
      </c>
      <c r="G1491" s="3" t="n">
        <v>0</v>
      </c>
      <c r="H1491" s="3" t="n">
        <v>0</v>
      </c>
    </row>
    <row r="1492" customFormat="false" ht="14.25" hidden="false" customHeight="true" outlineLevel="0" collapsed="false">
      <c r="A1492" s="1"/>
      <c r="B1492" s="1" t="s">
        <v>1628</v>
      </c>
      <c r="C1492" s="1" t="n">
        <v>6</v>
      </c>
      <c r="E1492" s="11" t="s">
        <v>119</v>
      </c>
      <c r="F1492" s="11" t="str">
        <f aca="false">IFERROR(__xludf.dummyfunction("GOOGLETRANSLATE(B1492,""en"",""ar"")"),"فنجان")</f>
        <v>فنجان</v>
      </c>
      <c r="G1492" s="3" t="n">
        <v>0</v>
      </c>
      <c r="H1492" s="3" t="n">
        <v>0</v>
      </c>
    </row>
    <row r="1493" customFormat="false" ht="14.25" hidden="false" customHeight="true" outlineLevel="0" collapsed="false">
      <c r="A1493" s="1"/>
      <c r="B1493" s="1" t="s">
        <v>1629</v>
      </c>
      <c r="C1493" s="1" t="n">
        <v>6</v>
      </c>
      <c r="E1493" s="11" t="s">
        <v>94</v>
      </c>
      <c r="F1493" s="11" t="str">
        <f aca="false">IFERROR(__xludf.dummyfunction("GOOGLETRANSLATE(B1493,""en"",""ar"")"),"حفر")</f>
        <v>حفر</v>
      </c>
      <c r="G1493" s="3" t="n">
        <v>0</v>
      </c>
      <c r="H1493" s="3" t="n">
        <v>0</v>
      </c>
    </row>
    <row r="1494" customFormat="false" ht="14.25" hidden="false" customHeight="true" outlineLevel="0" collapsed="false">
      <c r="A1494" s="1"/>
      <c r="B1494" s="1" t="s">
        <v>1630</v>
      </c>
      <c r="C1494" s="1" t="n">
        <v>6</v>
      </c>
      <c r="E1494" s="11" t="s">
        <v>119</v>
      </c>
      <c r="F1494" s="11" t="str">
        <f aca="false">IFERROR(__xludf.dummyfunction("GOOGLETRANSLATE(B1494,""en"",""ar"")"),"منطقة")</f>
        <v>منطقة</v>
      </c>
      <c r="G1494" s="3" t="n">
        <v>0</v>
      </c>
      <c r="H1494" s="3" t="n">
        <v>0</v>
      </c>
    </row>
    <row r="1495" customFormat="false" ht="14.25" hidden="false" customHeight="true" outlineLevel="0" collapsed="false">
      <c r="A1495" s="1"/>
      <c r="B1495" s="1" t="s">
        <v>1631</v>
      </c>
      <c r="C1495" s="1" t="n">
        <v>6</v>
      </c>
      <c r="E1495" s="11" t="s">
        <v>94</v>
      </c>
      <c r="F1495" s="11" t="str">
        <f aca="false">IFERROR(__xludf.dummyfunction("GOOGLETRANSLATE(B1495,""en"",""ar"")"),"يقسم")</f>
        <v>يقسم</v>
      </c>
      <c r="G1495" s="3" t="n">
        <v>0</v>
      </c>
      <c r="H1495" s="3" t="n">
        <v>0</v>
      </c>
    </row>
    <row r="1496" customFormat="false" ht="14.25" hidden="false" customHeight="true" outlineLevel="0" collapsed="false">
      <c r="A1496" s="1"/>
      <c r="B1496" s="1" t="s">
        <v>1632</v>
      </c>
      <c r="C1496" s="1" t="n">
        <v>6</v>
      </c>
      <c r="E1496" s="11" t="s">
        <v>1304</v>
      </c>
      <c r="F1496" s="11" t="str">
        <f aca="false">IFERROR(__xludf.dummyfunction("GOOGLETRANSLATE(B1496,""en"",""ar"")"),"باب")</f>
        <v>باب</v>
      </c>
      <c r="G1496" s="3" t="n">
        <v>0</v>
      </c>
      <c r="H1496" s="3" t="n">
        <v>0</v>
      </c>
    </row>
    <row r="1497" customFormat="false" ht="14.25" hidden="false" customHeight="true" outlineLevel="0" collapsed="false">
      <c r="A1497" s="1"/>
      <c r="B1497" s="1" t="s">
        <v>1633</v>
      </c>
      <c r="C1497" s="1" t="n">
        <v>6</v>
      </c>
      <c r="E1497" s="11" t="s">
        <v>908</v>
      </c>
      <c r="F1497" s="11" t="str">
        <f aca="false">IFERROR(__xludf.dummyfunction("GOOGLETRANSLATE(B1497,""en"",""ar"")"),"الشرق")</f>
        <v>الشرق</v>
      </c>
      <c r="G1497" s="3" t="n">
        <v>0</v>
      </c>
      <c r="H1497" s="3" t="n">
        <v>0</v>
      </c>
    </row>
    <row r="1498" customFormat="false" ht="14.25" hidden="false" customHeight="true" outlineLevel="0" collapsed="false">
      <c r="A1498" s="1"/>
      <c r="B1498" s="1" t="s">
        <v>1634</v>
      </c>
      <c r="C1498" s="1" t="n">
        <v>6</v>
      </c>
      <c r="E1498" s="11" t="s">
        <v>79</v>
      </c>
      <c r="F1498" s="11" t="str">
        <f aca="false">IFERROR(__xludf.dummyfunction("GOOGLETRANSLATE(B1498,""en"",""ar"")"),"مصعد")</f>
        <v>مصعد</v>
      </c>
      <c r="G1498" s="3" t="n">
        <v>0</v>
      </c>
      <c r="H1498" s="3" t="n">
        <v>0</v>
      </c>
    </row>
    <row r="1499" customFormat="false" ht="14.25" hidden="false" customHeight="true" outlineLevel="0" collapsed="false">
      <c r="A1499" s="1"/>
      <c r="B1499" s="1" t="s">
        <v>1635</v>
      </c>
      <c r="C1499" s="1" t="n">
        <v>6</v>
      </c>
      <c r="E1499" s="11" t="s">
        <v>42</v>
      </c>
      <c r="F1499" s="11" t="str">
        <f aca="false">IFERROR(__xludf.dummyfunction("GOOGLETRANSLATE(B1499,""en"",""ar"")"),"في مكان آخر")</f>
        <v>في مكان آخر</v>
      </c>
      <c r="G1499" s="3" t="n">
        <v>0</v>
      </c>
      <c r="H1499" s="3" t="n">
        <v>0</v>
      </c>
    </row>
    <row r="1500" customFormat="false" ht="14.25" hidden="false" customHeight="true" outlineLevel="0" collapsed="false">
      <c r="A1500" s="1"/>
      <c r="B1500" s="1" t="s">
        <v>1636</v>
      </c>
      <c r="C1500" s="1" t="n">
        <v>6</v>
      </c>
      <c r="E1500" s="11" t="s">
        <v>79</v>
      </c>
      <c r="F1500" s="11" t="str">
        <f aca="false">IFERROR(__xludf.dummyfunction("GOOGLETRANSLATE(B1500,""en"",""ar"")"),"المشاعر")</f>
        <v>المشاعر</v>
      </c>
      <c r="G1500" s="3" t="n">
        <v>0</v>
      </c>
      <c r="H1500" s="3" t="n">
        <v>0</v>
      </c>
    </row>
    <row r="1501" customFormat="false" ht="14.25" hidden="false" customHeight="true" outlineLevel="0" collapsed="false">
      <c r="A1501" s="1"/>
      <c r="B1501" s="1" t="s">
        <v>1637</v>
      </c>
      <c r="C1501" s="1" t="n">
        <v>6</v>
      </c>
      <c r="E1501" s="11" t="s">
        <v>79</v>
      </c>
      <c r="F1501" s="11" t="str">
        <f aca="false">IFERROR(__xludf.dummyfunction("GOOGLETRANSLATE(B1501,""en"",""ar"")"),"الموظف")</f>
        <v>الموظف</v>
      </c>
      <c r="G1501" s="3" t="n">
        <v>0</v>
      </c>
      <c r="H1501" s="3" t="n">
        <v>0</v>
      </c>
    </row>
    <row r="1502" customFormat="false" ht="14.25" hidden="false" customHeight="true" outlineLevel="0" collapsed="false">
      <c r="A1502" s="1"/>
      <c r="B1502" s="1" t="s">
        <v>1638</v>
      </c>
      <c r="C1502" s="1" t="n">
        <v>6</v>
      </c>
      <c r="E1502" s="11" t="s">
        <v>79</v>
      </c>
      <c r="F1502" s="11" t="str">
        <f aca="false">IFERROR(__xludf.dummyfunction("GOOGLETRANSLATE(B1502,""en"",""ar"")"),"صاحب العمل")</f>
        <v>صاحب العمل</v>
      </c>
      <c r="G1502" s="3" t="n">
        <v>0</v>
      </c>
      <c r="H1502" s="3" t="n">
        <v>0</v>
      </c>
    </row>
    <row r="1503" customFormat="false" ht="14.25" hidden="false" customHeight="true" outlineLevel="0" collapsed="false">
      <c r="A1503" s="1"/>
      <c r="B1503" s="1" t="s">
        <v>1639</v>
      </c>
      <c r="C1503" s="1" t="n">
        <v>6</v>
      </c>
      <c r="E1503" s="11" t="s">
        <v>235</v>
      </c>
      <c r="F1503" s="11" t="str">
        <f aca="false">IFERROR(__xludf.dummyfunction("GOOGLETRANSLATE(B1503,""en"",""ar"")"),"ما يعادل")</f>
        <v>ما يعادل</v>
      </c>
      <c r="G1503" s="3" t="n">
        <v>0</v>
      </c>
      <c r="H1503" s="3" t="n">
        <v>0</v>
      </c>
    </row>
    <row r="1504" customFormat="false" ht="14.25" hidden="false" customHeight="true" outlineLevel="0" collapsed="false">
      <c r="A1504" s="1"/>
      <c r="B1504" s="1" t="s">
        <v>1640</v>
      </c>
      <c r="C1504" s="1" t="n">
        <v>6</v>
      </c>
      <c r="E1504" s="11" t="s">
        <v>42</v>
      </c>
      <c r="F1504" s="11" t="str">
        <f aca="false">IFERROR(__xludf.dummyfunction("GOOGLETRANSLATE(B1504,""en"",""ar"")"),"في كل مكان")</f>
        <v>في كل مكان</v>
      </c>
      <c r="G1504" s="3" t="n">
        <v>0</v>
      </c>
      <c r="H1504" s="3" t="n">
        <v>0</v>
      </c>
    </row>
    <row r="1505" customFormat="false" ht="14.25" hidden="false" customHeight="true" outlineLevel="0" collapsed="false">
      <c r="A1505" s="1"/>
      <c r="B1505" s="1" t="s">
        <v>1641</v>
      </c>
      <c r="C1505" s="1" t="n">
        <v>6</v>
      </c>
      <c r="E1505" s="11" t="s">
        <v>1642</v>
      </c>
      <c r="F1505" s="11" t="str">
        <f aca="false">IFERROR(__xludf.dummyfunction("GOOGLETRANSLATE(B1505,""en"",""ar"")"),"يستثني")</f>
        <v>يستثني</v>
      </c>
      <c r="G1505" s="3" t="n">
        <v>0</v>
      </c>
      <c r="H1505" s="3" t="n">
        <v>0</v>
      </c>
    </row>
    <row r="1506" customFormat="false" ht="14.25" hidden="false" customHeight="true" outlineLevel="0" collapsed="false">
      <c r="A1506" s="1"/>
      <c r="B1506" s="1" t="s">
        <v>1643</v>
      </c>
      <c r="C1506" s="1" t="n">
        <v>6</v>
      </c>
      <c r="E1506" s="11" t="s">
        <v>1210</v>
      </c>
      <c r="F1506" s="11" t="str">
        <f aca="false">IFERROR(__xludf.dummyfunction("GOOGLETRANSLATE(B1506,""en"",""ar"")"),"اصبع اليد")</f>
        <v>اصبع اليد</v>
      </c>
      <c r="G1506" s="3" t="n">
        <v>0</v>
      </c>
      <c r="H1506" s="3" t="n">
        <v>0</v>
      </c>
    </row>
    <row r="1507" customFormat="false" ht="14.25" hidden="false" customHeight="true" outlineLevel="0" collapsed="false">
      <c r="A1507" s="1"/>
      <c r="B1507" s="1" t="s">
        <v>1644</v>
      </c>
      <c r="C1507" s="1" t="n">
        <v>6</v>
      </c>
      <c r="E1507" s="11" t="s">
        <v>119</v>
      </c>
      <c r="F1507" s="11" t="str">
        <f aca="false">IFERROR(__xludf.dummyfunction("GOOGLETRANSLATE(B1507,""en"",""ar"")"),"كراج")</f>
        <v>كراج</v>
      </c>
      <c r="G1507" s="3" t="n">
        <v>0</v>
      </c>
      <c r="H1507" s="3" t="n">
        <v>0</v>
      </c>
    </row>
    <row r="1508" customFormat="false" ht="14.25" hidden="false" customHeight="true" outlineLevel="0" collapsed="false">
      <c r="A1508" s="1"/>
      <c r="B1508" s="1" t="s">
        <v>1645</v>
      </c>
      <c r="C1508" s="1" t="n">
        <v>6</v>
      </c>
      <c r="E1508" s="11" t="s">
        <v>119</v>
      </c>
      <c r="F1508" s="11" t="str">
        <f aca="false">IFERROR(__xludf.dummyfunction("GOOGLETRANSLATE(B1508,""en"",""ar"")"),"ضمان")</f>
        <v>ضمان</v>
      </c>
      <c r="G1508" s="3" t="n">
        <v>0</v>
      </c>
      <c r="H1508" s="3" t="n">
        <v>0</v>
      </c>
    </row>
    <row r="1509" customFormat="false" ht="14.25" hidden="false" customHeight="true" outlineLevel="0" collapsed="false">
      <c r="A1509" s="1"/>
      <c r="B1509" s="1" t="s">
        <v>1646</v>
      </c>
      <c r="C1509" s="1" t="n">
        <v>6</v>
      </c>
      <c r="E1509" s="11" t="s">
        <v>79</v>
      </c>
      <c r="F1509" s="11" t="str">
        <f aca="false">IFERROR(__xludf.dummyfunction("GOOGLETRANSLATE(B1509,""en"",""ar"")"),"زائر")</f>
        <v>زائر</v>
      </c>
      <c r="G1509" s="3" t="n">
        <v>0</v>
      </c>
      <c r="H1509" s="3" t="n">
        <v>0</v>
      </c>
    </row>
    <row r="1510" customFormat="false" ht="14.25" hidden="false" customHeight="true" outlineLevel="0" collapsed="false">
      <c r="A1510" s="1"/>
      <c r="B1510" s="1" t="s">
        <v>1647</v>
      </c>
      <c r="C1510" s="1" t="n">
        <v>6</v>
      </c>
      <c r="E1510" s="11" t="s">
        <v>1205</v>
      </c>
      <c r="F1510" s="11" t="str">
        <f aca="false">IFERROR(__xludf.dummyfunction("GOOGLETRANSLATE(B1510,""en"",""ar"")"),"يشنق")</f>
        <v>يشنق</v>
      </c>
      <c r="G1510" s="3" t="n">
        <v>0</v>
      </c>
      <c r="H1510" s="3" t="n">
        <v>0</v>
      </c>
    </row>
    <row r="1511" customFormat="false" ht="14.25" hidden="false" customHeight="true" outlineLevel="0" collapsed="false">
      <c r="A1511" s="1"/>
      <c r="B1511" s="1" t="s">
        <v>1648</v>
      </c>
      <c r="C1511" s="1" t="n">
        <v>6</v>
      </c>
      <c r="E1511" s="11" t="s">
        <v>79</v>
      </c>
      <c r="F1511" s="11" t="str">
        <f aca="false">IFERROR(__xludf.dummyfunction("GOOGLETRANSLATE(B1511,""en"",""ar"")"),"ارتفاع")</f>
        <v>ارتفاع</v>
      </c>
      <c r="G1511" s="3" t="n">
        <v>0</v>
      </c>
      <c r="H1511" s="3" t="n">
        <v>0</v>
      </c>
    </row>
    <row r="1512" customFormat="false" ht="14.25" hidden="false" customHeight="true" outlineLevel="0" collapsed="false">
      <c r="A1512" s="1"/>
      <c r="B1512" s="1" t="s">
        <v>1649</v>
      </c>
      <c r="C1512" s="1" t="n">
        <v>6</v>
      </c>
      <c r="E1512" s="11" t="s">
        <v>30</v>
      </c>
      <c r="F1512" s="11" t="str">
        <f aca="false">IFERROR(__xludf.dummyfunction("GOOGLETRANSLATE(B1512,""en"",""ar"")"),"نفسه")</f>
        <v>نفسه</v>
      </c>
      <c r="G1512" s="3" t="n">
        <v>0</v>
      </c>
      <c r="H1512" s="3" t="n">
        <v>0</v>
      </c>
    </row>
    <row r="1513" customFormat="false" ht="14.25" hidden="false" customHeight="true" outlineLevel="0" collapsed="false">
      <c r="A1513" s="1"/>
      <c r="B1513" s="1" t="s">
        <v>1650</v>
      </c>
      <c r="C1513" s="1" t="n">
        <v>6</v>
      </c>
      <c r="E1513" s="11" t="s">
        <v>1210</v>
      </c>
      <c r="F1513" s="11" t="str">
        <f aca="false">IFERROR(__xludf.dummyfunction("GOOGLETRANSLATE(B1513,""en"",""ar"")"),"الفجوة")</f>
        <v>الفجوة</v>
      </c>
      <c r="G1513" s="3" t="n">
        <v>0</v>
      </c>
      <c r="H1513" s="3" t="n">
        <v>0</v>
      </c>
    </row>
    <row r="1514" customFormat="false" ht="14.25" hidden="false" customHeight="true" outlineLevel="0" collapsed="false">
      <c r="A1514" s="1"/>
      <c r="B1514" s="1" t="s">
        <v>1651</v>
      </c>
      <c r="C1514" s="1" t="n">
        <v>6</v>
      </c>
      <c r="E1514" s="11" t="s">
        <v>1210</v>
      </c>
      <c r="F1514" s="11" t="str">
        <f aca="false">IFERROR(__xludf.dummyfunction("GOOGLETRANSLATE(B1514,""en"",""ar"")"),"صنارة صيد")</f>
        <v>صنارة صيد</v>
      </c>
      <c r="G1514" s="3" t="n">
        <v>0</v>
      </c>
      <c r="H1514" s="3" t="n">
        <v>0</v>
      </c>
    </row>
    <row r="1515" customFormat="false" ht="14.25" hidden="false" customHeight="true" outlineLevel="0" collapsed="false">
      <c r="A1515" s="1"/>
      <c r="B1515" s="1" t="s">
        <v>1652</v>
      </c>
      <c r="C1515" s="1" t="n">
        <v>6</v>
      </c>
      <c r="E1515" s="11" t="s">
        <v>94</v>
      </c>
      <c r="F1515" s="11" t="str">
        <f aca="false">IFERROR(__xludf.dummyfunction("GOOGLETRANSLATE(B1515,""en"",""ar"")"),"مطاردة")</f>
        <v>مطاردة</v>
      </c>
      <c r="G1515" s="3" t="n">
        <v>0</v>
      </c>
      <c r="H1515" s="3" t="n">
        <v>0</v>
      </c>
    </row>
    <row r="1516" customFormat="false" ht="14.25" hidden="false" customHeight="true" outlineLevel="0" collapsed="false">
      <c r="A1516" s="1"/>
      <c r="B1516" s="1" t="s">
        <v>1653</v>
      </c>
      <c r="C1516" s="1" t="n">
        <v>6</v>
      </c>
      <c r="E1516" s="11" t="s">
        <v>119</v>
      </c>
      <c r="F1516" s="11" t="str">
        <f aca="false">IFERROR(__xludf.dummyfunction("GOOGLETRANSLATE(B1516,""en"",""ar"")"),"ينفذ")</f>
        <v>ينفذ</v>
      </c>
      <c r="G1516" s="3" t="n">
        <v>0</v>
      </c>
      <c r="H1516" s="3" t="n">
        <v>0</v>
      </c>
    </row>
    <row r="1517" customFormat="false" ht="14.25" hidden="false" customHeight="true" outlineLevel="0" collapsed="false">
      <c r="A1517" s="1"/>
      <c r="B1517" s="1" t="s">
        <v>1654</v>
      </c>
      <c r="C1517" s="1" t="n">
        <v>6</v>
      </c>
      <c r="E1517" s="11" t="s">
        <v>405</v>
      </c>
      <c r="F1517" s="11" t="str">
        <f aca="false">IFERROR(__xludf.dummyfunction("GOOGLETRANSLATE(B1517,""en"",""ar"")"),"مبدئي")</f>
        <v>مبدئي</v>
      </c>
      <c r="G1517" s="3" t="n">
        <v>0</v>
      </c>
      <c r="H1517" s="3" t="n">
        <v>0</v>
      </c>
    </row>
    <row r="1518" customFormat="false" ht="14.25" hidden="false" customHeight="true" outlineLevel="0" collapsed="false">
      <c r="A1518" s="1"/>
      <c r="B1518" s="1" t="s">
        <v>1655</v>
      </c>
      <c r="C1518" s="1" t="n">
        <v>6</v>
      </c>
      <c r="E1518" s="11" t="s">
        <v>12</v>
      </c>
      <c r="F1518" s="11" t="str">
        <f aca="false">IFERROR(__xludf.dummyfunction("GOOGLETRANSLATE(B1518,""en"",""ar"")"),"اعتزم")</f>
        <v>اعتزم</v>
      </c>
      <c r="G1518" s="3" t="n">
        <v>0</v>
      </c>
      <c r="H1518" s="3" t="n">
        <v>0</v>
      </c>
    </row>
    <row r="1519" customFormat="false" ht="14.25" hidden="false" customHeight="true" outlineLevel="0" collapsed="false">
      <c r="A1519" s="1"/>
      <c r="B1519" s="1" t="s">
        <v>1656</v>
      </c>
      <c r="C1519" s="1" t="n">
        <v>6</v>
      </c>
      <c r="E1519" s="11" t="s">
        <v>12</v>
      </c>
      <c r="F1519" s="11" t="str">
        <f aca="false">IFERROR(__xludf.dummyfunction("GOOGLETRANSLATE(B1519,""en"",""ar"")"),"تقديم")</f>
        <v>تقديم</v>
      </c>
      <c r="G1519" s="3" t="n">
        <v>0</v>
      </c>
      <c r="H1519" s="3" t="n">
        <v>0</v>
      </c>
    </row>
    <row r="1520" customFormat="false" ht="14.25" hidden="false" customHeight="true" outlineLevel="0" collapsed="false">
      <c r="A1520" s="1"/>
      <c r="B1520" s="1" t="s">
        <v>1657</v>
      </c>
      <c r="C1520" s="1" t="n">
        <v>6</v>
      </c>
      <c r="E1520" s="11" t="s">
        <v>112</v>
      </c>
      <c r="F1520" s="11" t="str">
        <f aca="false">IFERROR(__xludf.dummyfunction("GOOGLETRANSLATE(B1520,""en"",""ar"")"),"أخير")</f>
        <v>أخير</v>
      </c>
      <c r="G1520" s="3" t="n">
        <v>0</v>
      </c>
      <c r="H1520" s="3" t="n">
        <v>0</v>
      </c>
    </row>
    <row r="1521" customFormat="false" ht="14.25" hidden="false" customHeight="true" outlineLevel="0" collapsed="false">
      <c r="A1521" s="1"/>
      <c r="B1521" s="1" t="s">
        <v>1658</v>
      </c>
      <c r="C1521" s="1" t="n">
        <v>6</v>
      </c>
      <c r="E1521" s="11" t="s">
        <v>119</v>
      </c>
      <c r="F1521" s="11" t="str">
        <f aca="false">IFERROR(__xludf.dummyfunction("GOOGLETRANSLATE(B1521,""en"",""ar"")"),"طبقة")</f>
        <v>طبقة</v>
      </c>
      <c r="G1521" s="3" t="n">
        <v>0</v>
      </c>
      <c r="H1521" s="3" t="n">
        <v>0</v>
      </c>
    </row>
    <row r="1522" customFormat="false" ht="14.25" hidden="false" customHeight="true" outlineLevel="0" collapsed="false">
      <c r="A1522" s="1"/>
      <c r="B1522" s="1" t="s">
        <v>1659</v>
      </c>
      <c r="C1522" s="1" t="n">
        <v>6</v>
      </c>
      <c r="E1522" s="11" t="s">
        <v>79</v>
      </c>
      <c r="F1522" s="11" t="str">
        <f aca="false">IFERROR(__xludf.dummyfunction("GOOGLETRANSLATE(B1522,""en"",""ar"")"),"قيادة")</f>
        <v>قيادة</v>
      </c>
      <c r="G1522" s="3" t="n">
        <v>0</v>
      </c>
      <c r="H1522" s="3" t="n">
        <v>0</v>
      </c>
    </row>
    <row r="1523" customFormat="false" ht="14.25" hidden="false" customHeight="true" outlineLevel="0" collapsed="false">
      <c r="A1523" s="1"/>
      <c r="B1523" s="1" t="s">
        <v>1660</v>
      </c>
      <c r="C1523" s="1" t="n">
        <v>6</v>
      </c>
      <c r="E1523" s="11" t="s">
        <v>119</v>
      </c>
      <c r="F1523" s="11" t="str">
        <f aca="false">IFERROR(__xludf.dummyfunction("GOOGLETRANSLATE(B1523,""en"",""ar"")"),"محاضرة")</f>
        <v>محاضرة</v>
      </c>
      <c r="G1523" s="3" t="n">
        <v>0</v>
      </c>
      <c r="H1523" s="3" t="n">
        <v>0</v>
      </c>
    </row>
    <row r="1524" customFormat="false" ht="14.25" hidden="false" customHeight="true" outlineLevel="0" collapsed="false">
      <c r="A1524" s="1"/>
      <c r="B1524" s="1" t="s">
        <v>1661</v>
      </c>
      <c r="C1524" s="1" t="n">
        <v>6</v>
      </c>
      <c r="E1524" s="11" t="s">
        <v>1210</v>
      </c>
      <c r="F1524" s="11" t="str">
        <f aca="false">IFERROR(__xludf.dummyfunction("GOOGLETRANSLATE(B1524,""en"",""ar"")"),"يكذب")</f>
        <v>يكذب</v>
      </c>
      <c r="G1524" s="3" t="n">
        <v>0</v>
      </c>
      <c r="H1524" s="3" t="n">
        <v>0</v>
      </c>
    </row>
    <row r="1525" customFormat="false" ht="14.25" hidden="false" customHeight="true" outlineLevel="0" collapsed="false">
      <c r="A1525" s="1"/>
      <c r="B1525" s="1" t="s">
        <v>1662</v>
      </c>
      <c r="C1525" s="1" t="n">
        <v>6</v>
      </c>
      <c r="E1525" s="11" t="s">
        <v>79</v>
      </c>
      <c r="F1525" s="11" t="str">
        <f aca="false">IFERROR(__xludf.dummyfunction("GOOGLETRANSLATE(B1525,""en"",""ar"")"),"مجمع تجاري")</f>
        <v>مجمع تجاري</v>
      </c>
      <c r="G1525" s="3" t="n">
        <v>0</v>
      </c>
      <c r="H1525" s="3" t="n">
        <v>0</v>
      </c>
    </row>
    <row r="1526" customFormat="false" ht="14.25" hidden="false" customHeight="true" outlineLevel="0" collapsed="false">
      <c r="A1526" s="1"/>
      <c r="B1526" s="1" t="s">
        <v>1663</v>
      </c>
      <c r="C1526" s="1" t="n">
        <v>6</v>
      </c>
      <c r="E1526" s="11" t="s">
        <v>79</v>
      </c>
      <c r="F1526" s="11" t="str">
        <f aca="false">IFERROR(__xludf.dummyfunction("GOOGLETRANSLATE(B1526,""en"",""ar"")"),"إدارة")</f>
        <v>إدارة</v>
      </c>
      <c r="G1526" s="3" t="n">
        <v>0</v>
      </c>
      <c r="H1526" s="3" t="n">
        <v>0</v>
      </c>
    </row>
    <row r="1527" customFormat="false" ht="14.25" hidden="false" customHeight="true" outlineLevel="0" collapsed="false">
      <c r="A1527" s="1"/>
      <c r="B1527" s="1" t="s">
        <v>1664</v>
      </c>
      <c r="C1527" s="1" t="n">
        <v>6</v>
      </c>
      <c r="E1527" s="11" t="s">
        <v>1304</v>
      </c>
      <c r="F1527" s="11" t="str">
        <f aca="false">IFERROR(__xludf.dummyfunction("GOOGLETRANSLATE(B1527,""en"",""ar"")"),"طريقة")</f>
        <v>طريقة</v>
      </c>
      <c r="G1527" s="3" t="n">
        <v>0</v>
      </c>
      <c r="H1527" s="3" t="n">
        <v>0</v>
      </c>
    </row>
    <row r="1528" customFormat="false" ht="14.25" hidden="false" customHeight="true" outlineLevel="0" collapsed="false">
      <c r="A1528" s="1"/>
      <c r="B1528" s="1" t="s">
        <v>1665</v>
      </c>
      <c r="C1528" s="1" t="n">
        <v>6</v>
      </c>
      <c r="E1528" s="11" t="s">
        <v>1205</v>
      </c>
      <c r="F1528" s="11" t="str">
        <f aca="false">IFERROR(__xludf.dummyfunction("GOOGLETRANSLATE(B1528,""en"",""ar"")"),"مارس")</f>
        <v>مارس</v>
      </c>
      <c r="G1528" s="3" t="n">
        <v>0</v>
      </c>
      <c r="H1528" s="3" t="n">
        <v>0</v>
      </c>
    </row>
    <row r="1529" customFormat="false" ht="14.25" hidden="false" customHeight="true" outlineLevel="0" collapsed="false">
      <c r="A1529" s="1"/>
      <c r="B1529" s="1" t="s">
        <v>1666</v>
      </c>
      <c r="C1529" s="1" t="n">
        <v>6</v>
      </c>
      <c r="E1529" s="11" t="s">
        <v>1193</v>
      </c>
      <c r="F1529" s="11" t="str">
        <f aca="false">IFERROR(__xludf.dummyfunction("GOOGLETRANSLATE(B1529,""en"",""ar"")"),"متزوج \ متزوجة")</f>
        <v>متزوج \ متزوجة</v>
      </c>
      <c r="G1529" s="3" t="n">
        <v>0</v>
      </c>
      <c r="H1529" s="3" t="n">
        <v>0</v>
      </c>
    </row>
    <row r="1530" customFormat="false" ht="14.25" hidden="false" customHeight="true" outlineLevel="0" collapsed="false">
      <c r="A1530" s="1"/>
      <c r="B1530" s="1" t="s">
        <v>1667</v>
      </c>
      <c r="C1530" s="1" t="n">
        <v>6</v>
      </c>
      <c r="E1530" s="11" t="s">
        <v>1304</v>
      </c>
      <c r="F1530" s="11" t="str">
        <f aca="false">IFERROR(__xludf.dummyfunction("GOOGLETRANSLATE(B1530,""en"",""ar"")"),"لقاء")</f>
        <v>لقاء</v>
      </c>
      <c r="G1530" s="3" t="n">
        <v>0</v>
      </c>
      <c r="H1530" s="3" t="n">
        <v>0</v>
      </c>
    </row>
    <row r="1531" customFormat="false" ht="14.25" hidden="false" customHeight="true" outlineLevel="0" collapsed="false">
      <c r="A1531" s="1"/>
      <c r="B1531" s="1" t="s">
        <v>1668</v>
      </c>
      <c r="C1531" s="1" t="n">
        <v>6</v>
      </c>
      <c r="E1531" s="11" t="s">
        <v>1205</v>
      </c>
      <c r="F1531" s="11" t="str">
        <f aca="false">IFERROR(__xludf.dummyfunction("GOOGLETRANSLATE(B1531,""en"",""ar"")"),"أشير")</f>
        <v>أشير</v>
      </c>
      <c r="G1531" s="3" t="n">
        <v>0</v>
      </c>
      <c r="H1531" s="3" t="n">
        <v>0</v>
      </c>
    </row>
    <row r="1532" customFormat="false" ht="14.25" hidden="false" customHeight="true" outlineLevel="0" collapsed="false">
      <c r="A1532" s="1"/>
      <c r="B1532" s="1" t="s">
        <v>1669</v>
      </c>
      <c r="C1532" s="1" t="n">
        <v>6</v>
      </c>
      <c r="E1532" s="11" t="s">
        <v>509</v>
      </c>
      <c r="F1532" s="11" t="str">
        <f aca="false">IFERROR(__xludf.dummyfunction("GOOGLETRANSLATE(B1532,""en"",""ar"")"),"ضيق")</f>
        <v>ضيق</v>
      </c>
      <c r="G1532" s="3" t="n">
        <v>0</v>
      </c>
      <c r="H1532" s="3" t="n">
        <v>0</v>
      </c>
    </row>
    <row r="1533" customFormat="false" ht="14.25" hidden="false" customHeight="true" outlineLevel="0" collapsed="false">
      <c r="A1533" s="1"/>
      <c r="B1533" s="1" t="s">
        <v>1670</v>
      </c>
      <c r="C1533" s="1" t="n">
        <v>6</v>
      </c>
      <c r="E1533" s="11" t="s">
        <v>50</v>
      </c>
      <c r="F1533" s="11" t="str">
        <f aca="false">IFERROR(__xludf.dummyfunction("GOOGLETRANSLATE(B1533,""en"",""ar"")"),"مجاور")</f>
        <v>مجاور</v>
      </c>
      <c r="G1533" s="3" t="n">
        <v>0</v>
      </c>
      <c r="H1533" s="3" t="n">
        <v>0</v>
      </c>
    </row>
    <row r="1534" customFormat="false" ht="14.25" hidden="false" customHeight="true" outlineLevel="0" collapsed="false">
      <c r="A1534" s="1"/>
      <c r="B1534" s="1" t="s">
        <v>1671</v>
      </c>
      <c r="C1534" s="1" t="n">
        <v>6</v>
      </c>
      <c r="E1534" s="11" t="s">
        <v>1672</v>
      </c>
      <c r="F1534" s="11" t="str">
        <f aca="false">IFERROR(__xludf.dummyfunction("GOOGLETRANSLATE(B1534,""en"",""ar"")"),"لا هذا ولا ذاك")</f>
        <v>لا هذا ولا ذاك</v>
      </c>
      <c r="G1534" s="3" t="n">
        <v>0</v>
      </c>
      <c r="H1534" s="3" t="n">
        <v>0</v>
      </c>
    </row>
    <row r="1535" customFormat="false" ht="14.25" hidden="false" customHeight="true" outlineLevel="0" collapsed="false">
      <c r="A1535" s="1"/>
      <c r="B1535" s="1" t="s">
        <v>1673</v>
      </c>
      <c r="C1535" s="1" t="n">
        <v>6</v>
      </c>
      <c r="E1535" s="11" t="s">
        <v>1210</v>
      </c>
      <c r="F1535" s="11" t="str">
        <f aca="false">IFERROR(__xludf.dummyfunction("GOOGLETRANSLATE(B1535,""en"",""ar"")"),"الأنف")</f>
        <v>الأنف</v>
      </c>
      <c r="G1535" s="3" t="n">
        <v>0</v>
      </c>
      <c r="H1535" s="3" t="n">
        <v>0</v>
      </c>
    </row>
    <row r="1536" customFormat="false" ht="14.25" hidden="false" customHeight="true" outlineLevel="0" collapsed="false">
      <c r="A1536" s="1"/>
      <c r="B1536" s="1" t="s">
        <v>1674</v>
      </c>
      <c r="C1536" s="1" t="n">
        <v>6</v>
      </c>
      <c r="E1536" s="11" t="s">
        <v>42</v>
      </c>
      <c r="F1536" s="11" t="str">
        <f aca="false">IFERROR(__xludf.dummyfunction("GOOGLETRANSLATE(B1536,""en"",""ar"")"),"بوضوح")</f>
        <v>بوضوح</v>
      </c>
      <c r="G1536" s="3" t="n">
        <v>0</v>
      </c>
      <c r="H1536" s="3" t="n">
        <v>0</v>
      </c>
    </row>
    <row r="1537" customFormat="false" ht="14.25" hidden="false" customHeight="true" outlineLevel="0" collapsed="false">
      <c r="A1537" s="1"/>
      <c r="B1537" s="1" t="s">
        <v>1675</v>
      </c>
      <c r="C1537" s="1" t="n">
        <v>6</v>
      </c>
      <c r="E1537" s="11" t="s">
        <v>79</v>
      </c>
      <c r="F1537" s="11" t="str">
        <f aca="false">IFERROR(__xludf.dummyfunction("GOOGLETRANSLATE(B1537,""en"",""ar"")"),"عملية")</f>
        <v>عملية</v>
      </c>
      <c r="G1537" s="3" t="n">
        <v>0</v>
      </c>
      <c r="H1537" s="3" t="n">
        <v>0</v>
      </c>
    </row>
    <row r="1538" customFormat="false" ht="14.25" hidden="false" customHeight="true" outlineLevel="0" collapsed="false">
      <c r="A1538" s="1"/>
      <c r="B1538" s="1" t="s">
        <v>1676</v>
      </c>
      <c r="C1538" s="1" t="n">
        <v>6</v>
      </c>
      <c r="E1538" s="11" t="s">
        <v>148</v>
      </c>
      <c r="F1538" s="11" t="str">
        <f aca="false">IFERROR(__xludf.dummyfunction("GOOGLETRANSLATE(B1538,""en"",""ar"")"),"موقف سيارات")</f>
        <v>موقف سيارات</v>
      </c>
      <c r="G1538" s="3" t="n">
        <v>0</v>
      </c>
      <c r="H1538" s="3" t="n">
        <v>0</v>
      </c>
    </row>
    <row r="1539" customFormat="false" ht="14.25" hidden="false" customHeight="true" outlineLevel="0" collapsed="false">
      <c r="A1539" s="1"/>
      <c r="B1539" s="1" t="s">
        <v>1677</v>
      </c>
      <c r="C1539" s="1" t="n">
        <v>6</v>
      </c>
      <c r="E1539" s="11" t="s">
        <v>119</v>
      </c>
      <c r="F1539" s="11" t="str">
        <f aca="false">IFERROR(__xludf.dummyfunction("GOOGLETRANSLATE(B1539,""en"",""ar"")"),"شريك")</f>
        <v>شريك</v>
      </c>
      <c r="G1539" s="3" t="n">
        <v>0</v>
      </c>
      <c r="H1539" s="3" t="n">
        <v>0</v>
      </c>
    </row>
    <row r="1540" customFormat="false" ht="14.25" hidden="false" customHeight="true" outlineLevel="0" collapsed="false">
      <c r="A1540" s="1"/>
      <c r="B1540" s="1" t="s">
        <v>1678</v>
      </c>
      <c r="C1540" s="1" t="n">
        <v>6</v>
      </c>
      <c r="E1540" s="11" t="s">
        <v>42</v>
      </c>
      <c r="F1540" s="11" t="str">
        <f aca="false">IFERROR(__xludf.dummyfunction("GOOGLETRANSLATE(B1540,""en"",""ar"")"),"تماما")</f>
        <v>تماما</v>
      </c>
      <c r="G1540" s="3" t="n">
        <v>0</v>
      </c>
      <c r="H1540" s="3" t="n">
        <v>0</v>
      </c>
    </row>
    <row r="1541" customFormat="false" ht="14.25" hidden="false" customHeight="true" outlineLevel="0" collapsed="false">
      <c r="A1541" s="1"/>
      <c r="B1541" s="1" t="s">
        <v>1679</v>
      </c>
      <c r="C1541" s="1" t="n">
        <v>6</v>
      </c>
      <c r="E1541" s="11" t="s">
        <v>42</v>
      </c>
      <c r="F1541" s="11" t="str">
        <f aca="false">IFERROR(__xludf.dummyfunction("GOOGLETRANSLATE(B1541,""en"",""ar"")"),"جسديا")</f>
        <v>جسديا</v>
      </c>
      <c r="G1541" s="3" t="n">
        <v>0</v>
      </c>
      <c r="H1541" s="3" t="n">
        <v>0</v>
      </c>
    </row>
    <row r="1542" customFormat="false" ht="14.25" hidden="false" customHeight="true" outlineLevel="0" collapsed="false">
      <c r="A1542" s="1"/>
      <c r="B1542" s="1" t="s">
        <v>1680</v>
      </c>
      <c r="C1542" s="1" t="n">
        <v>6</v>
      </c>
      <c r="E1542" s="11" t="s">
        <v>119</v>
      </c>
      <c r="F1542" s="11" t="str">
        <f aca="false">IFERROR(__xludf.dummyfunction("GOOGLETRANSLATE(B1542,""en"",""ar"")"),"الملف الشخصي")</f>
        <v>الملف الشخصي</v>
      </c>
      <c r="G1542" s="3" t="n">
        <v>0</v>
      </c>
      <c r="H1542" s="3" t="n">
        <v>0</v>
      </c>
    </row>
    <row r="1543" customFormat="false" ht="14.25" hidden="false" customHeight="true" outlineLevel="0" collapsed="false">
      <c r="A1543" s="1"/>
      <c r="B1543" s="1" t="s">
        <v>1681</v>
      </c>
      <c r="C1543" s="1" t="n">
        <v>6</v>
      </c>
      <c r="E1543" s="11" t="s">
        <v>1499</v>
      </c>
      <c r="F1543" s="11" t="str">
        <f aca="false">IFERROR(__xludf.dummyfunction("GOOGLETRANSLATE(B1543,""en"",""ar"")"),"فخور")</f>
        <v>فخور</v>
      </c>
      <c r="G1543" s="3" t="n">
        <v>0</v>
      </c>
      <c r="H1543" s="3" t="n">
        <v>0</v>
      </c>
    </row>
    <row r="1544" customFormat="false" ht="14.25" hidden="false" customHeight="true" outlineLevel="0" collapsed="false">
      <c r="A1544" s="1"/>
      <c r="B1544" s="1" t="s">
        <v>1682</v>
      </c>
      <c r="C1544" s="1" t="n">
        <v>6</v>
      </c>
      <c r="E1544" s="11" t="s">
        <v>79</v>
      </c>
      <c r="F1544" s="11" t="str">
        <f aca="false">IFERROR(__xludf.dummyfunction("GOOGLETRANSLATE(B1544,""en"",""ar"")"),"تسجيل")</f>
        <v>تسجيل</v>
      </c>
      <c r="G1544" s="3" t="n">
        <v>0</v>
      </c>
      <c r="H1544" s="3" t="n">
        <v>0</v>
      </c>
    </row>
    <row r="1545" customFormat="false" ht="14.25" hidden="false" customHeight="true" outlineLevel="0" collapsed="false">
      <c r="A1545" s="1"/>
      <c r="B1545" s="1" t="s">
        <v>1683</v>
      </c>
      <c r="C1545" s="1" t="n">
        <v>6</v>
      </c>
      <c r="E1545" s="11" t="s">
        <v>12</v>
      </c>
      <c r="F1545" s="11" t="str">
        <f aca="false">IFERROR(__xludf.dummyfunction("GOOGLETRANSLATE(B1545,""en"",""ar"")"),"يتصل")</f>
        <v>يتصل</v>
      </c>
      <c r="G1545" s="3" t="n">
        <v>0</v>
      </c>
      <c r="H1545" s="3" t="n">
        <v>0</v>
      </c>
    </row>
    <row r="1546" customFormat="false" ht="14.25" hidden="false" customHeight="true" outlineLevel="0" collapsed="false">
      <c r="A1546" s="1"/>
      <c r="B1546" s="1" t="s">
        <v>1684</v>
      </c>
      <c r="C1546" s="1" t="n">
        <v>6</v>
      </c>
      <c r="E1546" s="11" t="s">
        <v>119</v>
      </c>
      <c r="F1546" s="11" t="str">
        <f aca="false">IFERROR(__xludf.dummyfunction("GOOGLETRANSLATE(B1546,""en"",""ar"")"),"احترام")</f>
        <v>احترام</v>
      </c>
      <c r="G1546" s="3" t="n">
        <v>0</v>
      </c>
      <c r="H1546" s="3" t="n">
        <v>0</v>
      </c>
    </row>
    <row r="1547" customFormat="false" ht="14.25" hidden="false" customHeight="true" outlineLevel="0" collapsed="false">
      <c r="A1547" s="1"/>
      <c r="B1547" s="1" t="s">
        <v>1685</v>
      </c>
      <c r="C1547" s="1" t="n">
        <v>6</v>
      </c>
      <c r="E1547" s="11" t="s">
        <v>119</v>
      </c>
      <c r="F1547" s="11" t="str">
        <f aca="false">IFERROR(__xludf.dummyfunction("GOOGLETRANSLATE(B1547,""en"",""ar"")"),"أرز")</f>
        <v>أرز</v>
      </c>
      <c r="G1547" s="3" t="n">
        <v>0</v>
      </c>
      <c r="H1547" s="3" t="n">
        <v>0</v>
      </c>
    </row>
    <row r="1548" customFormat="false" ht="14.25" hidden="false" customHeight="true" outlineLevel="0" collapsed="false">
      <c r="A1548" s="1"/>
      <c r="B1548" s="1" t="s">
        <v>1686</v>
      </c>
      <c r="C1548" s="1" t="n">
        <v>6</v>
      </c>
      <c r="E1548" s="11" t="s">
        <v>148</v>
      </c>
      <c r="F1548" s="11" t="str">
        <f aca="false">IFERROR(__xludf.dummyfunction("GOOGLETRANSLATE(B1548,""en"",""ar"")"),"نمط")</f>
        <v>نمط</v>
      </c>
      <c r="G1548" s="3" t="n">
        <v>0</v>
      </c>
      <c r="H1548" s="3" t="n">
        <v>0</v>
      </c>
    </row>
    <row r="1549" customFormat="false" ht="14.25" hidden="false" customHeight="true" outlineLevel="0" collapsed="false">
      <c r="A1549" s="1"/>
      <c r="B1549" s="1" t="s">
        <v>1687</v>
      </c>
      <c r="C1549" s="1" t="n">
        <v>6</v>
      </c>
      <c r="E1549" s="11" t="s">
        <v>79</v>
      </c>
      <c r="F1549" s="11" t="str">
        <f aca="false">IFERROR(__xludf.dummyfunction("GOOGLETRANSLATE(B1549,""en"",""ar"")"),"عينة")</f>
        <v>عينة</v>
      </c>
      <c r="G1549" s="3" t="n">
        <v>0</v>
      </c>
      <c r="H1549" s="3" t="n">
        <v>0</v>
      </c>
    </row>
    <row r="1550" customFormat="false" ht="14.25" hidden="false" customHeight="true" outlineLevel="0" collapsed="false">
      <c r="A1550" s="1"/>
      <c r="B1550" s="1" t="s">
        <v>1688</v>
      </c>
      <c r="C1550" s="1" t="n">
        <v>6</v>
      </c>
      <c r="E1550" s="11" t="s">
        <v>119</v>
      </c>
      <c r="F1550" s="11" t="str">
        <f aca="false">IFERROR(__xludf.dummyfunction("GOOGLETRANSLATE(B1550,""en"",""ar"")"),"جدول")</f>
        <v>جدول</v>
      </c>
      <c r="G1550" s="3" t="n">
        <v>0</v>
      </c>
      <c r="H1550" s="3" t="n">
        <v>0</v>
      </c>
    </row>
    <row r="1551" customFormat="false" ht="14.25" hidden="false" customHeight="true" outlineLevel="0" collapsed="false">
      <c r="A1551" s="1"/>
      <c r="B1551" s="1" t="s">
        <v>1689</v>
      </c>
      <c r="C1551" s="1" t="n">
        <v>6</v>
      </c>
      <c r="E1551" s="11" t="s">
        <v>12</v>
      </c>
      <c r="F1551" s="11" t="str">
        <f aca="false">IFERROR(__xludf.dummyfunction("GOOGLETRANSLATE(B1551,""en"",""ar"")"),"يستقر")</f>
        <v>يستقر</v>
      </c>
      <c r="G1551" s="3" t="n">
        <v>0</v>
      </c>
      <c r="H1551" s="3" t="n">
        <v>0</v>
      </c>
    </row>
    <row r="1552" customFormat="false" ht="14.25" hidden="false" customHeight="true" outlineLevel="0" collapsed="false">
      <c r="A1552" s="1"/>
      <c r="B1552" s="1" t="s">
        <v>1690</v>
      </c>
      <c r="C1552" s="1" t="n">
        <v>6</v>
      </c>
      <c r="E1552" s="11" t="s">
        <v>94</v>
      </c>
      <c r="F1552" s="11" t="str">
        <f aca="false">IFERROR(__xludf.dummyfunction("GOOGLETRANSLATE(B1552,""en"",""ar"")"),"رائحة")</f>
        <v>رائحة</v>
      </c>
      <c r="G1552" s="3" t="n">
        <v>0</v>
      </c>
      <c r="H1552" s="3" t="n">
        <v>0</v>
      </c>
    </row>
    <row r="1553" customFormat="false" ht="14.25" hidden="false" customHeight="true" outlineLevel="0" collapsed="false">
      <c r="A1553" s="1"/>
      <c r="B1553" s="1" t="s">
        <v>1691</v>
      </c>
      <c r="C1553" s="1" t="n">
        <v>6</v>
      </c>
      <c r="E1553" s="11" t="s">
        <v>1692</v>
      </c>
      <c r="F1553" s="11" t="str">
        <f aca="false">IFERROR(__xludf.dummyfunction("GOOGLETRANSLATE(B1553,""en"",""ar"")"),"بطريقة ما")</f>
        <v>بطريقة ما</v>
      </c>
      <c r="G1553" s="3" t="n">
        <v>0</v>
      </c>
      <c r="H1553" s="3" t="n">
        <v>0</v>
      </c>
    </row>
    <row r="1554" customFormat="false" ht="14.25" hidden="false" customHeight="true" outlineLevel="0" collapsed="false">
      <c r="A1554" s="1"/>
      <c r="B1554" s="1" t="s">
        <v>1693</v>
      </c>
      <c r="C1554" s="1" t="n">
        <v>6</v>
      </c>
      <c r="E1554" s="11" t="s">
        <v>235</v>
      </c>
      <c r="F1554" s="11" t="str">
        <f aca="false">IFERROR(__xludf.dummyfunction("GOOGLETRANSLATE(B1554,""en"",""ar"")"),"روحي")</f>
        <v>روحي</v>
      </c>
      <c r="G1554" s="3" t="n">
        <v>0</v>
      </c>
      <c r="H1554" s="3" t="n">
        <v>0</v>
      </c>
    </row>
    <row r="1555" customFormat="false" ht="14.25" hidden="false" customHeight="true" outlineLevel="0" collapsed="false">
      <c r="A1555" s="1"/>
      <c r="B1555" s="1" t="s">
        <v>1694</v>
      </c>
      <c r="C1555" s="1" t="n">
        <v>6</v>
      </c>
      <c r="E1555" s="11" t="s">
        <v>94</v>
      </c>
      <c r="F1555" s="11" t="str">
        <f aca="false">IFERROR(__xludf.dummyfunction("GOOGLETRANSLATE(B1555,""en"",""ar"")"),"الدراسة الاستقصائية")</f>
        <v>الدراسة الاستقصائية</v>
      </c>
      <c r="G1555" s="3" t="n">
        <v>0</v>
      </c>
      <c r="H1555" s="3" t="n">
        <v>0</v>
      </c>
    </row>
    <row r="1556" customFormat="false" ht="14.25" hidden="false" customHeight="true" outlineLevel="0" collapsed="false">
      <c r="A1556" s="1"/>
      <c r="B1556" s="1" t="s">
        <v>1695</v>
      </c>
      <c r="C1556" s="1" t="n">
        <v>6</v>
      </c>
      <c r="E1556" s="11" t="s">
        <v>148</v>
      </c>
      <c r="F1556" s="11" t="str">
        <f aca="false">IFERROR(__xludf.dummyfunction("GOOGLETRANSLATE(B1556,""en"",""ar"")"),"سباحة")</f>
        <v>سباحة</v>
      </c>
      <c r="G1556" s="3" t="n">
        <v>0</v>
      </c>
      <c r="H1556" s="3" t="n">
        <v>0</v>
      </c>
    </row>
    <row r="1557" customFormat="false" ht="14.25" hidden="false" customHeight="true" outlineLevel="0" collapsed="false">
      <c r="A1557" s="1"/>
      <c r="B1557" s="1" t="s">
        <v>1696</v>
      </c>
      <c r="C1557" s="1" t="n">
        <v>6</v>
      </c>
      <c r="E1557" s="11" t="s">
        <v>119</v>
      </c>
      <c r="F1557" s="11" t="str">
        <f aca="false">IFERROR(__xludf.dummyfunction("GOOGLETRANSLATE(B1557,""en"",""ar"")"),"هاتف")</f>
        <v>هاتف</v>
      </c>
      <c r="G1557" s="3" t="n">
        <v>0</v>
      </c>
      <c r="H1557" s="3" t="n">
        <v>0</v>
      </c>
    </row>
    <row r="1558" customFormat="false" ht="14.25" hidden="false" customHeight="true" outlineLevel="0" collapsed="false">
      <c r="A1558" s="1"/>
      <c r="B1558" s="1" t="s">
        <v>1697</v>
      </c>
      <c r="C1558" s="1" t="n">
        <v>6</v>
      </c>
      <c r="E1558" s="11" t="s">
        <v>1205</v>
      </c>
      <c r="F1558" s="11" t="str">
        <f aca="false">IFERROR(__xludf.dummyfunction("GOOGLETRANSLATE(B1558,""en"",""ar"")"),"ربطة عنق")</f>
        <v>ربطة عنق</v>
      </c>
      <c r="G1558" s="3" t="n">
        <v>0</v>
      </c>
      <c r="H1558" s="3" t="n">
        <v>0</v>
      </c>
    </row>
    <row r="1559" customFormat="false" ht="14.25" hidden="false" customHeight="true" outlineLevel="0" collapsed="false">
      <c r="A1559" s="1"/>
      <c r="B1559" s="1" t="s">
        <v>1698</v>
      </c>
      <c r="C1559" s="1" t="n">
        <v>6</v>
      </c>
      <c r="E1559" s="11" t="s">
        <v>119</v>
      </c>
      <c r="F1559" s="11" t="str">
        <f aca="false">IFERROR(__xludf.dummyfunction("GOOGLETRANSLATE(B1559,""en"",""ar"")"),"تلميح")</f>
        <v>تلميح</v>
      </c>
      <c r="G1559" s="3" t="n">
        <v>0</v>
      </c>
      <c r="H1559" s="3" t="n">
        <v>0</v>
      </c>
    </row>
    <row r="1560" customFormat="false" ht="14.25" hidden="false" customHeight="true" outlineLevel="0" collapsed="false">
      <c r="A1560" s="1"/>
      <c r="B1560" s="1" t="s">
        <v>1699</v>
      </c>
      <c r="C1560" s="1" t="n">
        <v>6</v>
      </c>
      <c r="E1560" s="11" t="s">
        <v>79</v>
      </c>
      <c r="F1560" s="11" t="str">
        <f aca="false">IFERROR(__xludf.dummyfunction("GOOGLETRANSLATE(B1560,""en"",""ar"")"),"نقل")</f>
        <v>نقل</v>
      </c>
      <c r="G1560" s="3" t="n">
        <v>0</v>
      </c>
      <c r="H1560" s="3" t="n">
        <v>0</v>
      </c>
    </row>
    <row r="1561" customFormat="false" ht="14.25" hidden="false" customHeight="true" outlineLevel="0" collapsed="false">
      <c r="A1561" s="1"/>
      <c r="B1561" s="1" t="s">
        <v>1700</v>
      </c>
      <c r="C1561" s="1" t="n">
        <v>6</v>
      </c>
      <c r="E1561" s="11" t="s">
        <v>112</v>
      </c>
      <c r="F1561" s="11" t="str">
        <f aca="false">IFERROR(__xludf.dummyfunction("GOOGLETRANSLATE(B1561,""en"",""ar"")"),"تعيس")</f>
        <v>تعيس</v>
      </c>
      <c r="G1561" s="3" t="n">
        <v>0</v>
      </c>
      <c r="H1561" s="3" t="n">
        <v>0</v>
      </c>
    </row>
    <row r="1562" customFormat="false" ht="14.25" hidden="false" customHeight="true" outlineLevel="0" collapsed="false">
      <c r="A1562" s="1"/>
      <c r="B1562" s="1" t="s">
        <v>1701</v>
      </c>
      <c r="C1562" s="1" t="n">
        <v>6</v>
      </c>
      <c r="E1562" s="11" t="s">
        <v>1272</v>
      </c>
      <c r="F1562" s="11" t="str">
        <f aca="false">IFERROR(__xludf.dummyfunction("GOOGLETRANSLATE(B1562,""en"",""ar"")"),"بري")</f>
        <v>بري</v>
      </c>
      <c r="G1562" s="3" t="n">
        <v>0</v>
      </c>
      <c r="H1562" s="3" t="n">
        <v>0</v>
      </c>
    </row>
    <row r="1563" customFormat="false" ht="14.25" hidden="false" customHeight="true" outlineLevel="0" collapsed="false">
      <c r="A1563" s="1"/>
      <c r="B1563" s="1" t="s">
        <v>1702</v>
      </c>
      <c r="C1563" s="1" t="n">
        <v>6</v>
      </c>
      <c r="E1563" s="11" t="s">
        <v>83</v>
      </c>
      <c r="F1563" s="11" t="str">
        <f aca="false">IFERROR(__xludf.dummyfunction("GOOGLETRANSLATE(B1563,""en"",""ar"")"),"شتاء")</f>
        <v>شتاء</v>
      </c>
      <c r="G1563" s="3" t="n">
        <v>0</v>
      </c>
      <c r="H1563" s="3" t="n">
        <v>0</v>
      </c>
    </row>
    <row r="1564" customFormat="false" ht="14.25" hidden="false" customHeight="true" outlineLevel="0" collapsed="false">
      <c r="A1564" s="1"/>
      <c r="B1564" s="1" t="s">
        <v>1703</v>
      </c>
      <c r="C1564" s="1" t="n">
        <v>5</v>
      </c>
      <c r="E1564" s="11" t="s">
        <v>306</v>
      </c>
      <c r="F1564" s="11" t="str">
        <f aca="false">IFERROR(__xludf.dummyfunction("GOOGLETRANSLATE(B1564,""en"",""ar"")"),"إطلاقا")</f>
        <v>إطلاقا</v>
      </c>
      <c r="G1564" s="3" t="n">
        <v>0</v>
      </c>
      <c r="H1564" s="3" t="n">
        <v>0</v>
      </c>
    </row>
    <row r="1565" customFormat="false" ht="14.25" hidden="false" customHeight="true" outlineLevel="0" collapsed="false">
      <c r="A1565" s="1"/>
      <c r="B1565" s="1" t="s">
        <v>1704</v>
      </c>
      <c r="C1565" s="1" t="n">
        <v>5</v>
      </c>
      <c r="E1565" s="11" t="s">
        <v>112</v>
      </c>
      <c r="F1565" s="11" t="str">
        <f aca="false">IFERROR(__xludf.dummyfunction("GOOGLETRANSLATE(B1565,""en"",""ar"")"),"مقبول")</f>
        <v>مقبول</v>
      </c>
      <c r="G1565" s="3" t="n">
        <v>0</v>
      </c>
      <c r="H1565" s="3" t="n">
        <v>0</v>
      </c>
    </row>
    <row r="1566" customFormat="false" ht="14.25" hidden="false" customHeight="true" outlineLevel="0" collapsed="false">
      <c r="A1566" s="1"/>
      <c r="B1566" s="1" t="s">
        <v>1705</v>
      </c>
      <c r="C1566" s="1" t="n">
        <v>5</v>
      </c>
      <c r="E1566" s="11" t="s">
        <v>235</v>
      </c>
      <c r="F1566" s="11" t="str">
        <f aca="false">IFERROR(__xludf.dummyfunction("GOOGLETRANSLATE(B1566,""en"",""ar"")"),"بالغ")</f>
        <v>بالغ</v>
      </c>
      <c r="G1566" s="3" t="n">
        <v>0</v>
      </c>
      <c r="H1566" s="3" t="n">
        <v>0</v>
      </c>
    </row>
    <row r="1567" customFormat="false" ht="14.25" hidden="false" customHeight="true" outlineLevel="0" collapsed="false">
      <c r="A1567" s="1"/>
      <c r="B1567" s="1" t="s">
        <v>1706</v>
      </c>
      <c r="C1567" s="1" t="n">
        <v>5</v>
      </c>
      <c r="E1567" s="11" t="s">
        <v>112</v>
      </c>
      <c r="F1567" s="11" t="str">
        <f aca="false">IFERROR(__xludf.dummyfunction("GOOGLETRANSLATE(B1567,""en"",""ar"")"),"عنيف")</f>
        <v>عنيف</v>
      </c>
      <c r="G1567" s="3" t="n">
        <v>0</v>
      </c>
      <c r="H1567" s="3" t="n">
        <v>0</v>
      </c>
    </row>
    <row r="1568" customFormat="false" ht="14.25" hidden="false" customHeight="true" outlineLevel="0" collapsed="false">
      <c r="A1568" s="1"/>
      <c r="B1568" s="1" t="s">
        <v>1707</v>
      </c>
      <c r="C1568" s="1" t="n">
        <v>5</v>
      </c>
      <c r="E1568" s="11" t="s">
        <v>148</v>
      </c>
      <c r="F1568" s="11" t="str">
        <f aca="false">IFERROR(__xludf.dummyfunction("GOOGLETRANSLATE(B1568,""en"",""ar"")"),"شركة طيران")</f>
        <v>شركة طيران</v>
      </c>
      <c r="G1568" s="3" t="n">
        <v>0</v>
      </c>
      <c r="H1568" s="3" t="n">
        <v>0</v>
      </c>
    </row>
    <row r="1569" customFormat="false" ht="14.25" hidden="false" customHeight="true" outlineLevel="0" collapsed="false">
      <c r="A1569" s="1"/>
      <c r="B1569" s="1" t="s">
        <v>1708</v>
      </c>
      <c r="C1569" s="1" t="n">
        <v>5</v>
      </c>
      <c r="E1569" s="11" t="s">
        <v>50</v>
      </c>
      <c r="F1569" s="11" t="str">
        <f aca="false">IFERROR(__xludf.dummyfunction("GOOGLETRANSLATE(B1569,""en"",""ar"")"),"بعيدا، بمعزل، على حد")</f>
        <v>بعيدا، بمعزل، على حد</v>
      </c>
      <c r="G1569" s="3" t="n">
        <v>0</v>
      </c>
      <c r="H1569" s="3" t="n">
        <v>0</v>
      </c>
    </row>
    <row r="1570" customFormat="false" ht="14.25" hidden="false" customHeight="true" outlineLevel="0" collapsed="false">
      <c r="A1570" s="1"/>
      <c r="B1570" s="1" t="s">
        <v>1709</v>
      </c>
      <c r="C1570" s="1" t="n">
        <v>5</v>
      </c>
      <c r="E1570" s="11" t="s">
        <v>12</v>
      </c>
      <c r="F1570" s="11" t="str">
        <f aca="false">IFERROR(__xludf.dummyfunction("GOOGLETRANSLATE(B1570,""en"",""ar"")"),"ضمان")</f>
        <v>ضمان</v>
      </c>
      <c r="G1570" s="3" t="n">
        <v>0</v>
      </c>
      <c r="H1570" s="3" t="n">
        <v>0</v>
      </c>
    </row>
    <row r="1571" customFormat="false" ht="14.25" hidden="false" customHeight="true" outlineLevel="0" collapsed="false">
      <c r="A1571" s="1"/>
      <c r="B1571" s="1" t="s">
        <v>1710</v>
      </c>
      <c r="C1571" s="1" t="n">
        <v>5</v>
      </c>
      <c r="E1571" s="11" t="s">
        <v>12</v>
      </c>
      <c r="F1571" s="11" t="str">
        <f aca="false">IFERROR(__xludf.dummyfunction("GOOGLETRANSLATE(B1571,""en"",""ar"")"),"جذب")</f>
        <v>جذب</v>
      </c>
      <c r="G1571" s="3" t="n">
        <v>0</v>
      </c>
      <c r="H1571" s="3" t="n">
        <v>0</v>
      </c>
    </row>
    <row r="1572" customFormat="false" ht="14.25" hidden="false" customHeight="true" outlineLevel="0" collapsed="false">
      <c r="A1572" s="1"/>
      <c r="B1572" s="1" t="s">
        <v>1711</v>
      </c>
      <c r="C1572" s="1" t="n">
        <v>5</v>
      </c>
      <c r="E1572" s="11" t="s">
        <v>119</v>
      </c>
      <c r="F1572" s="11" t="str">
        <f aca="false">IFERROR(__xludf.dummyfunction("GOOGLETRANSLATE(B1572,""en"",""ar"")"),"كيس")</f>
        <v>كيس</v>
      </c>
      <c r="G1572" s="3" t="n">
        <v>0</v>
      </c>
      <c r="H1572" s="3" t="n">
        <v>0</v>
      </c>
    </row>
    <row r="1573" customFormat="false" ht="14.25" hidden="false" customHeight="true" outlineLevel="0" collapsed="false">
      <c r="A1573" s="1"/>
      <c r="B1573" s="1" t="s">
        <v>1712</v>
      </c>
      <c r="C1573" s="1" t="n">
        <v>5</v>
      </c>
      <c r="E1573" s="11" t="s">
        <v>119</v>
      </c>
      <c r="F1573" s="11" t="str">
        <f aca="false">IFERROR(__xludf.dummyfunction("GOOGLETRANSLATE(B1573,""en"",""ar"")"),"معركة")</f>
        <v>معركة</v>
      </c>
      <c r="G1573" s="3" t="n">
        <v>0</v>
      </c>
      <c r="H1573" s="3" t="n">
        <v>0</v>
      </c>
    </row>
    <row r="1574" customFormat="false" ht="14.25" hidden="false" customHeight="true" outlineLevel="0" collapsed="false">
      <c r="A1574" s="1"/>
      <c r="B1574" s="1" t="s">
        <v>1713</v>
      </c>
      <c r="C1574" s="1" t="n">
        <v>5</v>
      </c>
      <c r="E1574" s="11" t="s">
        <v>119</v>
      </c>
      <c r="F1574" s="11" t="str">
        <f aca="false">IFERROR(__xludf.dummyfunction("GOOGLETRANSLATE(B1574,""en"",""ar"")"),"سرير")</f>
        <v>سرير</v>
      </c>
      <c r="G1574" s="3" t="n">
        <v>0</v>
      </c>
      <c r="H1574" s="3" t="n">
        <v>0</v>
      </c>
    </row>
    <row r="1575" customFormat="false" ht="14.25" hidden="false" customHeight="true" outlineLevel="0" collapsed="false">
      <c r="A1575" s="1"/>
      <c r="B1575" s="1" t="s">
        <v>1714</v>
      </c>
      <c r="C1575" s="1" t="n">
        <v>5</v>
      </c>
      <c r="E1575" s="11" t="s">
        <v>119</v>
      </c>
      <c r="F1575" s="11" t="str">
        <f aca="false">IFERROR(__xludf.dummyfunction("GOOGLETRANSLATE(B1575,""en"",""ar"")"),"مشروع قانون")</f>
        <v>مشروع قانون</v>
      </c>
      <c r="G1575" s="3" t="n">
        <v>0</v>
      </c>
      <c r="H1575" s="3" t="n">
        <v>0</v>
      </c>
    </row>
    <row r="1576" customFormat="false" ht="14.25" hidden="false" customHeight="true" outlineLevel="0" collapsed="false">
      <c r="A1576" s="1"/>
      <c r="B1576" s="1" t="s">
        <v>1715</v>
      </c>
      <c r="C1576" s="1" t="n">
        <v>5</v>
      </c>
      <c r="E1576" s="11" t="s">
        <v>112</v>
      </c>
      <c r="F1576" s="11" t="str">
        <f aca="false">IFERROR(__xludf.dummyfunction("GOOGLETRANSLATE(B1576,""en"",""ar"")"),"ممل")</f>
        <v>ممل</v>
      </c>
      <c r="G1576" s="3" t="n">
        <v>0</v>
      </c>
      <c r="H1576" s="3" t="n">
        <v>0</v>
      </c>
    </row>
    <row r="1577" customFormat="false" ht="14.25" hidden="false" customHeight="true" outlineLevel="0" collapsed="false">
      <c r="A1577" s="1"/>
      <c r="B1577" s="1" t="s">
        <v>1716</v>
      </c>
      <c r="C1577" s="1" t="n">
        <v>5</v>
      </c>
      <c r="E1577" s="11" t="s">
        <v>119</v>
      </c>
      <c r="F1577" s="11" t="str">
        <f aca="false">IFERROR(__xludf.dummyfunction("GOOGLETRANSLATE(B1577,""en"",""ar"")"),"يزعج")</f>
        <v>يزعج</v>
      </c>
      <c r="G1577" s="3" t="n">
        <v>0</v>
      </c>
      <c r="H1577" s="3" t="n">
        <v>0</v>
      </c>
    </row>
    <row r="1578" customFormat="false" ht="14.25" hidden="false" customHeight="true" outlineLevel="0" collapsed="false">
      <c r="A1578" s="1"/>
      <c r="B1578" s="1" t="s">
        <v>1717</v>
      </c>
      <c r="C1578" s="1" t="n">
        <v>5</v>
      </c>
      <c r="E1578" s="11" t="s">
        <v>405</v>
      </c>
      <c r="F1578" s="11" t="str">
        <f aca="false">IFERROR(__xludf.dummyfunction("GOOGLETRANSLATE(B1578,""en"",""ar"")"),"نبذة")</f>
        <v>نبذة</v>
      </c>
      <c r="G1578" s="3" t="n">
        <v>0</v>
      </c>
      <c r="H1578" s="3" t="n">
        <v>0</v>
      </c>
    </row>
    <row r="1579" customFormat="false" ht="14.25" hidden="false" customHeight="true" outlineLevel="0" collapsed="false">
      <c r="A1579" s="1"/>
      <c r="B1579" s="1" t="s">
        <v>1718</v>
      </c>
      <c r="C1579" s="1" t="n">
        <v>5</v>
      </c>
      <c r="E1579" s="11" t="s">
        <v>119</v>
      </c>
      <c r="F1579" s="11" t="str">
        <f aca="false">IFERROR(__xludf.dummyfunction("GOOGLETRANSLATE(B1579,""en"",""ar"")"),"كيك")</f>
        <v>كيك</v>
      </c>
      <c r="G1579" s="3" t="n">
        <v>0</v>
      </c>
      <c r="H1579" s="3" t="n">
        <v>0</v>
      </c>
    </row>
    <row r="1580" customFormat="false" ht="14.25" hidden="false" customHeight="true" outlineLevel="0" collapsed="false">
      <c r="A1580" s="1"/>
      <c r="B1580" s="1" t="s">
        <v>1719</v>
      </c>
      <c r="C1580" s="1" t="n">
        <v>5</v>
      </c>
      <c r="E1580" s="11" t="s">
        <v>79</v>
      </c>
      <c r="F1580" s="11" t="str">
        <f aca="false">IFERROR(__xludf.dummyfunction("GOOGLETRANSLATE(B1580,""en"",""ar"")"),"الاعمال الخيرية")</f>
        <v>الاعمال الخيرية</v>
      </c>
      <c r="G1580" s="3" t="n">
        <v>0</v>
      </c>
      <c r="H1580" s="3" t="n">
        <v>0</v>
      </c>
    </row>
    <row r="1581" customFormat="false" ht="14.25" hidden="false" customHeight="true" outlineLevel="0" collapsed="false">
      <c r="A1581" s="1"/>
      <c r="B1581" s="1" t="s">
        <v>1720</v>
      </c>
      <c r="C1581" s="1" t="n">
        <v>5</v>
      </c>
      <c r="E1581" s="11" t="s">
        <v>119</v>
      </c>
      <c r="F1581" s="11" t="str">
        <f aca="false">IFERROR(__xludf.dummyfunction("GOOGLETRANSLATE(B1581,""en"",""ar"")"),"الشفرة")</f>
        <v>الشفرة</v>
      </c>
      <c r="G1581" s="3" t="n">
        <v>0</v>
      </c>
      <c r="H1581" s="3" t="n">
        <v>0</v>
      </c>
    </row>
    <row r="1582" customFormat="false" ht="14.25" hidden="false" customHeight="true" outlineLevel="0" collapsed="false">
      <c r="A1582" s="1"/>
      <c r="B1582" s="1" t="s">
        <v>1721</v>
      </c>
      <c r="C1582" s="1" t="n">
        <v>5</v>
      </c>
      <c r="E1582" s="11" t="s">
        <v>79</v>
      </c>
      <c r="F1582" s="11" t="str">
        <f aca="false">IFERROR(__xludf.dummyfunction("GOOGLETRANSLATE(B1582,""en"",""ar"")"),"ولد عم")</f>
        <v>ولد عم</v>
      </c>
      <c r="G1582" s="3" t="n">
        <v>0</v>
      </c>
      <c r="H1582" s="3" t="n">
        <v>0</v>
      </c>
    </row>
    <row r="1583" customFormat="false" ht="14.25" hidden="false" customHeight="true" outlineLevel="0" collapsed="false">
      <c r="A1583" s="1"/>
      <c r="B1583" s="1" t="s">
        <v>1722</v>
      </c>
      <c r="C1583" s="1" t="n">
        <v>5</v>
      </c>
      <c r="E1583" s="11" t="s">
        <v>1389</v>
      </c>
      <c r="F1583" s="11" t="str">
        <f aca="false">IFERROR(__xludf.dummyfunction("GOOGLETRANSLATE(B1583,""en"",""ar"")"),"مجنون")</f>
        <v>مجنون</v>
      </c>
      <c r="G1583" s="3" t="n">
        <v>0</v>
      </c>
      <c r="H1583" s="3" t="n">
        <v>0</v>
      </c>
    </row>
    <row r="1584" customFormat="false" ht="14.25" hidden="false" customHeight="true" outlineLevel="0" collapsed="false">
      <c r="A1584" s="1"/>
      <c r="B1584" s="1" t="s">
        <v>1723</v>
      </c>
      <c r="C1584" s="1" t="n">
        <v>5</v>
      </c>
      <c r="E1584" s="11" t="s">
        <v>1210</v>
      </c>
      <c r="F1584" s="11" t="str">
        <f aca="false">IFERROR(__xludf.dummyfunction("GOOGLETRANSLATE(B1584,""en"",""ar"")"),"منحنى")</f>
        <v>منحنى</v>
      </c>
      <c r="G1584" s="3" t="n">
        <v>0</v>
      </c>
      <c r="H1584" s="3" t="n">
        <v>0</v>
      </c>
    </row>
    <row r="1585" customFormat="false" ht="14.25" hidden="false" customHeight="true" outlineLevel="0" collapsed="false">
      <c r="A1585" s="1"/>
      <c r="B1585" s="1" t="s">
        <v>1724</v>
      </c>
      <c r="C1585" s="1" t="n">
        <v>5</v>
      </c>
      <c r="E1585" s="11" t="s">
        <v>148</v>
      </c>
      <c r="F1585" s="11" t="str">
        <f aca="false">IFERROR(__xludf.dummyfunction("GOOGLETRANSLATE(B1585,""en"",""ar"")"),"مصمم")</f>
        <v>مصمم</v>
      </c>
      <c r="G1585" s="3" t="n">
        <v>0</v>
      </c>
      <c r="H1585" s="3" t="n">
        <v>0</v>
      </c>
    </row>
    <row r="1586" customFormat="false" ht="14.25" hidden="false" customHeight="true" outlineLevel="0" collapsed="false">
      <c r="A1586" s="1"/>
      <c r="B1586" s="1" t="s">
        <v>1725</v>
      </c>
      <c r="C1586" s="1" t="n">
        <v>5</v>
      </c>
      <c r="E1586" s="11" t="s">
        <v>119</v>
      </c>
      <c r="F1586" s="11" t="str">
        <f aca="false">IFERROR(__xludf.dummyfunction("GOOGLETRANSLATE(B1586,""en"",""ar"")"),"البعد")</f>
        <v>البعد</v>
      </c>
      <c r="G1586" s="3" t="n">
        <v>0</v>
      </c>
      <c r="H1586" s="3" t="n">
        <v>0</v>
      </c>
    </row>
    <row r="1587" customFormat="false" ht="14.25" hidden="false" customHeight="true" outlineLevel="0" collapsed="false">
      <c r="A1587" s="1"/>
      <c r="B1587" s="1" t="s">
        <v>1726</v>
      </c>
      <c r="C1587" s="1" t="n">
        <v>5</v>
      </c>
      <c r="E1587" s="11" t="s">
        <v>79</v>
      </c>
      <c r="F1587" s="11" t="str">
        <f aca="false">IFERROR(__xludf.dummyfunction("GOOGLETRANSLATE(B1587,""en"",""ar"")"),"كارثة")</f>
        <v>كارثة</v>
      </c>
      <c r="G1587" s="3" t="n">
        <v>0</v>
      </c>
      <c r="H1587" s="3" t="n">
        <v>0</v>
      </c>
    </row>
    <row r="1588" customFormat="false" ht="14.25" hidden="false" customHeight="true" outlineLevel="0" collapsed="false">
      <c r="A1588" s="1"/>
      <c r="B1588" s="1" t="s">
        <v>1727</v>
      </c>
      <c r="C1588" s="1" t="n">
        <v>5</v>
      </c>
      <c r="E1588" s="11" t="s">
        <v>112</v>
      </c>
      <c r="F1588" s="11" t="str">
        <f aca="false">IFERROR(__xludf.dummyfunction("GOOGLETRANSLATE(B1588,""en"",""ar"")"),"خامد")</f>
        <v>خامد</v>
      </c>
      <c r="G1588" s="3" t="n">
        <v>0</v>
      </c>
      <c r="H1588" s="3" t="n">
        <v>0</v>
      </c>
    </row>
    <row r="1589" customFormat="false" ht="14.25" hidden="false" customHeight="true" outlineLevel="0" collapsed="false">
      <c r="A1589" s="1"/>
      <c r="B1589" s="1" t="s">
        <v>1728</v>
      </c>
      <c r="C1589" s="1" t="n">
        <v>5</v>
      </c>
      <c r="E1589" s="11" t="s">
        <v>12</v>
      </c>
      <c r="F1589" s="11" t="str">
        <f aca="false">IFERROR(__xludf.dummyfunction("GOOGLETRANSLATE(B1589,""en"",""ar"")"),"نشر")</f>
        <v>نشر</v>
      </c>
      <c r="G1589" s="3" t="n">
        <v>0</v>
      </c>
      <c r="H1589" s="3" t="n">
        <v>0</v>
      </c>
    </row>
    <row r="1590" customFormat="false" ht="14.25" hidden="false" customHeight="true" outlineLevel="0" collapsed="false">
      <c r="A1590" s="1"/>
      <c r="B1590" s="1" t="s">
        <v>1729</v>
      </c>
      <c r="C1590" s="1" t="n">
        <v>5</v>
      </c>
      <c r="E1590" s="11" t="s">
        <v>83</v>
      </c>
      <c r="F1590" s="11" t="str">
        <f aca="false">IFERROR(__xludf.dummyfunction("GOOGLETRANSLATE(B1590,""en"",""ar"")"),"فستان")</f>
        <v>فستان</v>
      </c>
      <c r="G1590" s="3" t="n">
        <v>0</v>
      </c>
      <c r="H1590" s="3" t="n">
        <v>0</v>
      </c>
    </row>
    <row r="1591" customFormat="false" ht="14.25" hidden="false" customHeight="true" outlineLevel="0" collapsed="false">
      <c r="A1591" s="1"/>
      <c r="B1591" s="1" t="s">
        <v>1730</v>
      </c>
      <c r="C1591" s="1" t="n">
        <v>5</v>
      </c>
      <c r="E1591" s="11" t="s">
        <v>119</v>
      </c>
      <c r="F1591" s="11" t="str">
        <f aca="false">IFERROR(__xludf.dummyfunction("GOOGLETRANSLATE(B1591,""en"",""ar"")"),"يسهل")</f>
        <v>يسهل</v>
      </c>
      <c r="G1591" s="3" t="n">
        <v>0</v>
      </c>
      <c r="H1591" s="3" t="n">
        <v>0</v>
      </c>
    </row>
    <row r="1592" customFormat="false" ht="14.25" hidden="false" customHeight="true" outlineLevel="0" collapsed="false">
      <c r="A1592" s="1"/>
      <c r="B1592" s="1" t="s">
        <v>1731</v>
      </c>
      <c r="C1592" s="1" t="n">
        <v>5</v>
      </c>
      <c r="E1592" s="11" t="s">
        <v>112</v>
      </c>
      <c r="F1592" s="11" t="str">
        <f aca="false">IFERROR(__xludf.dummyfunction("GOOGLETRANSLATE(B1592,""en"",""ar"")"),"الشرقية")</f>
        <v>الشرقية</v>
      </c>
      <c r="G1592" s="3" t="n">
        <v>0</v>
      </c>
      <c r="H1592" s="3" t="n">
        <v>0</v>
      </c>
    </row>
    <row r="1593" customFormat="false" ht="14.25" hidden="false" customHeight="true" outlineLevel="0" collapsed="false">
      <c r="A1593" s="1"/>
      <c r="B1593" s="1" t="s">
        <v>1732</v>
      </c>
      <c r="C1593" s="1" t="n">
        <v>5</v>
      </c>
      <c r="E1593" s="11" t="s">
        <v>79</v>
      </c>
      <c r="F1593" s="11" t="str">
        <f aca="false">IFERROR(__xludf.dummyfunction("GOOGLETRANSLATE(B1593,""en"",""ar"")"),"محرر")</f>
        <v>محرر</v>
      </c>
      <c r="G1593" s="3" t="n">
        <v>0</v>
      </c>
      <c r="H1593" s="3" t="n">
        <v>0</v>
      </c>
    </row>
    <row r="1594" customFormat="false" ht="14.25" hidden="false" customHeight="true" outlineLevel="0" collapsed="false">
      <c r="A1594" s="1"/>
      <c r="B1594" s="1" t="s">
        <v>1733</v>
      </c>
      <c r="C1594" s="1" t="n">
        <v>5</v>
      </c>
      <c r="E1594" s="11" t="s">
        <v>79</v>
      </c>
      <c r="F1594" s="11" t="str">
        <f aca="false">IFERROR(__xludf.dummyfunction("GOOGLETRANSLATE(B1594,""en"",""ar"")"),"نجاعة")</f>
        <v>نجاعة</v>
      </c>
      <c r="G1594" s="3" t="n">
        <v>0</v>
      </c>
      <c r="H1594" s="3" t="n">
        <v>0</v>
      </c>
    </row>
    <row r="1595" customFormat="false" ht="14.25" hidden="false" customHeight="true" outlineLevel="0" collapsed="false">
      <c r="A1595" s="1"/>
      <c r="B1595" s="1" t="s">
        <v>1734</v>
      </c>
      <c r="C1595" s="1" t="n">
        <v>5</v>
      </c>
      <c r="E1595" s="11" t="s">
        <v>148</v>
      </c>
      <c r="F1595" s="11" t="str">
        <f aca="false">IFERROR(__xludf.dummyfunction("GOOGLETRANSLATE(B1595,""en"",""ar"")"),"حالة طوارئ")</f>
        <v>حالة طوارئ</v>
      </c>
      <c r="G1595" s="3" t="n">
        <v>0</v>
      </c>
      <c r="H1595" s="3" t="n">
        <v>0</v>
      </c>
    </row>
    <row r="1596" customFormat="false" ht="14.25" hidden="false" customHeight="true" outlineLevel="0" collapsed="false">
      <c r="A1596" s="1"/>
      <c r="B1596" s="1" t="s">
        <v>1735</v>
      </c>
      <c r="C1596" s="1" t="n">
        <v>5</v>
      </c>
      <c r="E1596" s="11" t="s">
        <v>324</v>
      </c>
      <c r="F1596" s="11" t="str">
        <f aca="false">IFERROR(__xludf.dummyfunction("GOOGLETRANSLATE(B1596,""en"",""ar"")"),"يهرب")</f>
        <v>يهرب</v>
      </c>
      <c r="G1596" s="3" t="n">
        <v>0</v>
      </c>
      <c r="H1596" s="3" t="n">
        <v>0</v>
      </c>
    </row>
    <row r="1597" customFormat="false" ht="14.25" hidden="false" customHeight="true" outlineLevel="0" collapsed="false">
      <c r="A1597" s="1"/>
      <c r="B1597" s="1" t="s">
        <v>1736</v>
      </c>
      <c r="C1597" s="1" t="n">
        <v>5</v>
      </c>
      <c r="E1597" s="11" t="s">
        <v>148</v>
      </c>
      <c r="F1597" s="11" t="str">
        <f aca="false">IFERROR(__xludf.dummyfunction("GOOGLETRANSLATE(B1597,""en"",""ar"")"),"اخر النهار")</f>
        <v>اخر النهار</v>
      </c>
      <c r="G1597" s="3" t="n">
        <v>0</v>
      </c>
      <c r="H1597" s="3" t="n">
        <v>0</v>
      </c>
    </row>
    <row r="1598" customFormat="false" ht="14.25" hidden="false" customHeight="true" outlineLevel="0" collapsed="false">
      <c r="A1598" s="1"/>
      <c r="B1598" s="1" t="s">
        <v>1737</v>
      </c>
      <c r="C1598" s="1" t="n">
        <v>5</v>
      </c>
      <c r="E1598" s="11" t="s">
        <v>79</v>
      </c>
      <c r="F1598" s="11" t="str">
        <f aca="false">IFERROR(__xludf.dummyfunction("GOOGLETRANSLATE(B1598,""en"",""ar"")"),"إثارة")</f>
        <v>إثارة</v>
      </c>
      <c r="G1598" s="3" t="n">
        <v>0</v>
      </c>
      <c r="H1598" s="3" t="n">
        <v>0</v>
      </c>
    </row>
    <row r="1599" customFormat="false" ht="14.25" hidden="false" customHeight="true" outlineLevel="0" collapsed="false">
      <c r="A1599" s="1"/>
      <c r="B1599" s="1" t="s">
        <v>1738</v>
      </c>
      <c r="C1599" s="1" t="n">
        <v>5</v>
      </c>
      <c r="E1599" s="11" t="s">
        <v>1262</v>
      </c>
      <c r="F1599" s="11" t="str">
        <f aca="false">IFERROR(__xludf.dummyfunction("GOOGLETRANSLATE(B1599,""en"",""ar"")"),"تعرض")</f>
        <v>تعرض</v>
      </c>
      <c r="G1599" s="3" t="n">
        <v>0</v>
      </c>
      <c r="H1599" s="3" t="n">
        <v>0</v>
      </c>
    </row>
    <row r="1600" customFormat="false" ht="14.25" hidden="false" customHeight="true" outlineLevel="0" collapsed="false">
      <c r="A1600" s="1"/>
      <c r="B1600" s="1" t="s">
        <v>1739</v>
      </c>
      <c r="C1600" s="1" t="n">
        <v>5</v>
      </c>
      <c r="E1600" s="11" t="s">
        <v>148</v>
      </c>
      <c r="F1600" s="11" t="str">
        <f aca="false">IFERROR(__xludf.dummyfunction("GOOGLETRANSLATE(B1600,""en"",""ar"")"),"تمديد")</f>
        <v>تمديد</v>
      </c>
      <c r="G1600" s="3" t="n">
        <v>0</v>
      </c>
      <c r="H1600" s="3" t="n">
        <v>0</v>
      </c>
    </row>
    <row r="1601" customFormat="false" ht="14.25" hidden="false" customHeight="true" outlineLevel="0" collapsed="false">
      <c r="A1601" s="1"/>
      <c r="B1601" s="1" t="s">
        <v>1740</v>
      </c>
      <c r="C1601" s="1" t="n">
        <v>5</v>
      </c>
      <c r="E1601" s="11" t="s">
        <v>79</v>
      </c>
      <c r="F1601" s="11" t="str">
        <f aca="false">IFERROR(__xludf.dummyfunction("GOOGLETRANSLATE(B1601,""en"",""ar"")"),"مدى")</f>
        <v>مدى</v>
      </c>
      <c r="G1601" s="3" t="n">
        <v>0</v>
      </c>
      <c r="H1601" s="3" t="n">
        <v>0</v>
      </c>
    </row>
    <row r="1602" customFormat="false" ht="14.25" hidden="false" customHeight="true" outlineLevel="0" collapsed="false">
      <c r="A1602" s="1"/>
      <c r="B1602" s="1" t="s">
        <v>1741</v>
      </c>
      <c r="C1602" s="1" t="n">
        <v>5</v>
      </c>
      <c r="E1602" s="11" t="s">
        <v>1210</v>
      </c>
      <c r="F1602" s="11" t="str">
        <f aca="false">IFERROR(__xludf.dummyfunction("GOOGLETRANSLATE(B1602,""en"",""ar"")"),"مزرعة")</f>
        <v>مزرعة</v>
      </c>
      <c r="G1602" s="3" t="n">
        <v>0</v>
      </c>
      <c r="H1602" s="3" t="n">
        <v>0</v>
      </c>
    </row>
    <row r="1603" customFormat="false" ht="14.25" hidden="false" customHeight="true" outlineLevel="0" collapsed="false">
      <c r="A1603" s="1"/>
      <c r="B1603" s="1"/>
      <c r="C1603" s="1" t="n">
        <v>5</v>
      </c>
      <c r="E1603" s="11" t="s">
        <v>79</v>
      </c>
      <c r="F1603" s="11" t="str">
        <f aca="false">IFERROR(__xludf.dummyfunction("GOOGLETRANSLATE(B1603,""en"",""ar"")"),"#VALUE!")</f>
        <v>#VALUE!</v>
      </c>
      <c r="G1603" s="3" t="n">
        <v>0</v>
      </c>
      <c r="H1603" s="3" t="n">
        <v>0</v>
      </c>
    </row>
    <row r="1604" customFormat="false" ht="14.25" hidden="false" customHeight="true" outlineLevel="0" collapsed="false">
      <c r="A1604" s="1"/>
      <c r="B1604" s="1" t="s">
        <v>1742</v>
      </c>
      <c r="C1604" s="1" t="n">
        <v>5</v>
      </c>
      <c r="E1604" s="11" t="s">
        <v>119</v>
      </c>
      <c r="F1604" s="11" t="str">
        <f aca="false">IFERROR(__xludf.dummyfunction("GOOGLETRANSLATE(B1604,""en"",""ar"")"),"يقاتل")</f>
        <v>يقاتل</v>
      </c>
      <c r="G1604" s="3" t="n">
        <v>0</v>
      </c>
      <c r="H1604" s="3" t="n">
        <v>0</v>
      </c>
    </row>
    <row r="1605" customFormat="false" ht="14.25" hidden="false" customHeight="true" outlineLevel="0" collapsed="false">
      <c r="A1605" s="1"/>
      <c r="B1605" s="1" t="s">
        <v>1743</v>
      </c>
      <c r="C1605" s="1" t="n">
        <v>5</v>
      </c>
      <c r="E1605" s="11" t="s">
        <v>119</v>
      </c>
      <c r="F1605" s="11" t="str">
        <f aca="false">IFERROR(__xludf.dummyfunction("GOOGLETRANSLATE(B1605,""en"",""ar"")"),"الفارق")</f>
        <v>الفارق</v>
      </c>
      <c r="G1605" s="3" t="n">
        <v>0</v>
      </c>
      <c r="H1605" s="3" t="n">
        <v>0</v>
      </c>
    </row>
    <row r="1606" customFormat="false" ht="14.25" hidden="false" customHeight="true" outlineLevel="0" collapsed="false">
      <c r="A1606" s="1"/>
      <c r="B1606" s="1" t="s">
        <v>1744</v>
      </c>
      <c r="C1606" s="1" t="n">
        <v>5</v>
      </c>
      <c r="E1606" s="11" t="s">
        <v>1205</v>
      </c>
      <c r="F1606" s="11" t="str">
        <f aca="false">IFERROR(__xludf.dummyfunction("GOOGLETRANSLATE(B1606,""en"",""ar"")"),"يجتمع")</f>
        <v>يجتمع</v>
      </c>
      <c r="G1606" s="3" t="n">
        <v>0</v>
      </c>
      <c r="H1606" s="3" t="n">
        <v>0</v>
      </c>
    </row>
    <row r="1607" customFormat="false" ht="14.25" hidden="false" customHeight="true" outlineLevel="0" collapsed="false">
      <c r="A1607" s="1"/>
      <c r="B1607" s="1" t="s">
        <v>1745</v>
      </c>
      <c r="C1607" s="1" t="n">
        <v>5</v>
      </c>
      <c r="E1607" s="11" t="s">
        <v>119</v>
      </c>
      <c r="F1607" s="11" t="str">
        <f aca="false">IFERROR(__xludf.dummyfunction("GOOGLETRANSLATE(B1607,""en"",""ar"")"),"المرتبة")</f>
        <v>المرتبة</v>
      </c>
      <c r="G1607" s="3" t="n">
        <v>0</v>
      </c>
      <c r="H1607" s="3" t="n">
        <v>0</v>
      </c>
    </row>
    <row r="1608" customFormat="false" ht="14.25" hidden="false" customHeight="true" outlineLevel="0" collapsed="false">
      <c r="A1608" s="1"/>
      <c r="B1608" s="1" t="s">
        <v>1746</v>
      </c>
      <c r="C1608" s="1" t="n">
        <v>5</v>
      </c>
      <c r="E1608" s="11" t="s">
        <v>79</v>
      </c>
      <c r="F1608" s="11" t="str">
        <f aca="false">IFERROR(__xludf.dummyfunction("GOOGLETRANSLATE(B1608,""en"",""ar"")"),"غيتار")</f>
        <v>غيتار</v>
      </c>
      <c r="G1608" s="3" t="n">
        <v>0</v>
      </c>
      <c r="H1608" s="3" t="n">
        <v>0</v>
      </c>
    </row>
    <row r="1609" customFormat="false" ht="14.25" hidden="false" customHeight="true" outlineLevel="0" collapsed="false">
      <c r="A1609" s="1"/>
      <c r="B1609" s="1" t="s">
        <v>1747</v>
      </c>
      <c r="C1609" s="1" t="n">
        <v>5</v>
      </c>
      <c r="E1609" s="11" t="s">
        <v>94</v>
      </c>
      <c r="F1609" s="11" t="str">
        <f aca="false">IFERROR(__xludf.dummyfunction("GOOGLETRANSLATE(B1609,""en"",""ar"")"),"يكره")</f>
        <v>يكره</v>
      </c>
      <c r="G1609" s="3" t="n">
        <v>0</v>
      </c>
      <c r="H1609" s="3" t="n">
        <v>0</v>
      </c>
    </row>
    <row r="1610" customFormat="false" ht="14.25" hidden="false" customHeight="true" outlineLevel="0" collapsed="false">
      <c r="A1610" s="1"/>
      <c r="B1610" s="1" t="s">
        <v>1748</v>
      </c>
      <c r="C1610" s="1" t="n">
        <v>5</v>
      </c>
      <c r="E1610" s="11" t="s">
        <v>83</v>
      </c>
      <c r="F1610" s="11" t="str">
        <f aca="false">IFERROR(__xludf.dummyfunction("GOOGLETRANSLATE(B1610,""en"",""ar"")"),"يوم الاجازة")</f>
        <v>يوم الاجازة</v>
      </c>
      <c r="G1610" s="3" t="n">
        <v>0</v>
      </c>
      <c r="H1610" s="3" t="n">
        <v>0</v>
      </c>
    </row>
    <row r="1611" customFormat="false" ht="14.25" hidden="false" customHeight="true" outlineLevel="0" collapsed="false">
      <c r="A1611" s="1"/>
      <c r="B1611" s="1" t="s">
        <v>1749</v>
      </c>
      <c r="C1611" s="1" t="n">
        <v>5</v>
      </c>
      <c r="E1611" s="11" t="s">
        <v>79</v>
      </c>
      <c r="F1611" s="11" t="str">
        <f aca="false">IFERROR(__xludf.dummyfunction("GOOGLETRANSLATE(B1611,""en"",""ar"")"),"الواجب المنزلي")</f>
        <v>الواجب المنزلي</v>
      </c>
      <c r="G1611" s="3" t="n">
        <v>0</v>
      </c>
      <c r="H1611" s="3" t="n">
        <v>0</v>
      </c>
    </row>
    <row r="1612" customFormat="false" ht="14.25" hidden="false" customHeight="true" outlineLevel="0" collapsed="false">
      <c r="A1612" s="1"/>
      <c r="B1612" s="1" t="s">
        <v>1750</v>
      </c>
      <c r="C1612" s="1" t="n">
        <v>5</v>
      </c>
      <c r="E1612" s="11" t="s">
        <v>148</v>
      </c>
      <c r="F1612" s="11" t="str">
        <f aca="false">IFERROR(__xludf.dummyfunction("GOOGLETRANSLATE(B1612,""en"",""ar"")"),"رعب")</f>
        <v>رعب</v>
      </c>
      <c r="G1612" s="3" t="n">
        <v>0</v>
      </c>
      <c r="H1612" s="3" t="n">
        <v>0</v>
      </c>
    </row>
    <row r="1613" customFormat="false" ht="14.25" hidden="false" customHeight="true" outlineLevel="0" collapsed="false">
      <c r="A1613" s="1"/>
      <c r="B1613" s="1" t="s">
        <v>1751</v>
      </c>
      <c r="C1613" s="1" t="n">
        <v>5</v>
      </c>
      <c r="E1613" s="11" t="s">
        <v>1231</v>
      </c>
      <c r="F1613" s="11" t="str">
        <f aca="false">IFERROR(__xludf.dummyfunction("GOOGLETRANSLATE(B1613,""en"",""ar"")"),"حصان")</f>
        <v>حصان</v>
      </c>
      <c r="G1613" s="3" t="n">
        <v>0</v>
      </c>
      <c r="H1613" s="3" t="n">
        <v>0</v>
      </c>
    </row>
    <row r="1614" customFormat="false" ht="14.25" hidden="false" customHeight="true" outlineLevel="0" collapsed="false">
      <c r="A1614" s="1"/>
      <c r="B1614" s="1" t="s">
        <v>1752</v>
      </c>
      <c r="C1614" s="1" t="n">
        <v>5</v>
      </c>
      <c r="E1614" s="11" t="s">
        <v>119</v>
      </c>
      <c r="F1614" s="11" t="str">
        <f aca="false">IFERROR(__xludf.dummyfunction("GOOGLETRANSLATE(B1614,""en"",""ar"")"),"مضيف")</f>
        <v>مضيف</v>
      </c>
      <c r="G1614" s="3" t="n">
        <v>0</v>
      </c>
      <c r="H1614" s="3" t="n">
        <v>0</v>
      </c>
    </row>
    <row r="1615" customFormat="false" ht="14.25" hidden="false" customHeight="true" outlineLevel="0" collapsed="false">
      <c r="A1615" s="1"/>
      <c r="B1615" s="1" t="s">
        <v>1753</v>
      </c>
      <c r="C1615" s="1" t="n">
        <v>5</v>
      </c>
      <c r="E1615" s="11" t="s">
        <v>119</v>
      </c>
      <c r="F1615" s="11" t="str">
        <f aca="false">IFERROR(__xludf.dummyfunction("GOOGLETRANSLATE(B1615,""en"",""ar"")"),"الزوج")</f>
        <v>الزوج</v>
      </c>
      <c r="G1615" s="3" t="n">
        <v>0</v>
      </c>
      <c r="H1615" s="3" t="n">
        <v>0</v>
      </c>
    </row>
    <row r="1616" customFormat="false" ht="14.25" hidden="false" customHeight="true" outlineLevel="0" collapsed="false">
      <c r="A1616" s="1"/>
      <c r="B1616" s="1" t="s">
        <v>1754</v>
      </c>
      <c r="C1616" s="1" t="n">
        <v>5</v>
      </c>
      <c r="E1616" s="11" t="s">
        <v>79</v>
      </c>
      <c r="F1616" s="11" t="str">
        <f aca="false">IFERROR(__xludf.dummyfunction("GOOGLETRANSLATE(B1616,""en"",""ar"")"),"زعيم")</f>
        <v>زعيم</v>
      </c>
      <c r="G1616" s="3" t="n">
        <v>0</v>
      </c>
      <c r="H1616" s="3" t="n">
        <v>0</v>
      </c>
    </row>
    <row r="1617" customFormat="false" ht="14.25" hidden="false" customHeight="true" outlineLevel="0" collapsed="false">
      <c r="A1617" s="1"/>
      <c r="B1617" s="1" t="s">
        <v>1755</v>
      </c>
      <c r="C1617" s="1" t="n">
        <v>5</v>
      </c>
      <c r="E1617" s="11" t="s">
        <v>1210</v>
      </c>
      <c r="F1617" s="11" t="str">
        <f aca="false">IFERROR(__xludf.dummyfunction("GOOGLETRANSLATE(B1617,""en"",""ar"")"),"يقرض")</f>
        <v>يقرض</v>
      </c>
      <c r="G1617" s="3" t="n">
        <v>0</v>
      </c>
      <c r="H1617" s="3" t="n">
        <v>0</v>
      </c>
    </row>
    <row r="1618" customFormat="false" ht="14.25" hidden="false" customHeight="true" outlineLevel="0" collapsed="false">
      <c r="A1618" s="1"/>
      <c r="B1618" s="1" t="s">
        <v>1756</v>
      </c>
      <c r="C1618" s="1" t="n">
        <v>5</v>
      </c>
      <c r="E1618" s="11" t="s">
        <v>112</v>
      </c>
      <c r="F1618" s="11" t="str">
        <f aca="false">IFERROR(__xludf.dummyfunction("GOOGLETRANSLATE(B1618,""en"",""ar"")"),"منطقي")</f>
        <v>منطقي</v>
      </c>
      <c r="G1618" s="3" t="n">
        <v>0</v>
      </c>
      <c r="H1618" s="3" t="n">
        <v>0</v>
      </c>
    </row>
    <row r="1619" customFormat="false" ht="14.25" hidden="false" customHeight="true" outlineLevel="0" collapsed="false">
      <c r="A1619" s="1"/>
      <c r="B1619" s="1" t="s">
        <v>1757</v>
      </c>
      <c r="C1619" s="1" t="n">
        <v>5</v>
      </c>
      <c r="E1619" s="11" t="s">
        <v>1210</v>
      </c>
      <c r="F1619" s="11" t="str">
        <f aca="false">IFERROR(__xludf.dummyfunction("GOOGLETRANSLATE(B1619,""en"",""ar"")"),"خطأ")</f>
        <v>خطأ</v>
      </c>
      <c r="G1619" s="3" t="n">
        <v>0</v>
      </c>
      <c r="H1619" s="3" t="n">
        <v>0</v>
      </c>
    </row>
    <row r="1620" customFormat="false" ht="14.25" hidden="false" customHeight="true" outlineLevel="0" collapsed="false">
      <c r="A1620" s="1"/>
      <c r="B1620" s="1" t="s">
        <v>1758</v>
      </c>
      <c r="C1620" s="1" t="n">
        <v>5</v>
      </c>
      <c r="E1620" s="11" t="s">
        <v>79</v>
      </c>
      <c r="F1620" s="11" t="str">
        <f aca="false">IFERROR(__xludf.dummyfunction("GOOGLETRANSLATE(B1620,""en"",""ar"")"),"أمي")</f>
        <v>أمي</v>
      </c>
      <c r="G1620" s="3" t="n">
        <v>0</v>
      </c>
      <c r="H1620" s="3" t="n">
        <v>0</v>
      </c>
    </row>
    <row r="1621" customFormat="false" ht="14.25" hidden="false" customHeight="true" outlineLevel="0" collapsed="false">
      <c r="A1621" s="1"/>
      <c r="B1621" s="1" t="s">
        <v>1759</v>
      </c>
      <c r="C1621" s="1" t="n">
        <v>5</v>
      </c>
      <c r="E1621" s="11" t="s">
        <v>1297</v>
      </c>
      <c r="F1621" s="11" t="str">
        <f aca="false">IFERROR(__xludf.dummyfunction("GOOGLETRANSLATE(B1621,""en"",""ar"")"),"جبل")</f>
        <v>جبل</v>
      </c>
      <c r="G1621" s="3" t="n">
        <v>0</v>
      </c>
      <c r="H1621" s="3" t="n">
        <v>0</v>
      </c>
    </row>
    <row r="1622" customFormat="false" ht="14.25" hidden="false" customHeight="true" outlineLevel="0" collapsed="false">
      <c r="A1622" s="1"/>
      <c r="B1622" s="1" t="s">
        <v>1760</v>
      </c>
      <c r="C1622" s="1" t="n">
        <v>5</v>
      </c>
      <c r="E1622" s="11" t="s">
        <v>1210</v>
      </c>
      <c r="F1622" s="11" t="str">
        <f aca="false">IFERROR(__xludf.dummyfunction("GOOGLETRANSLATE(B1622,""en"",""ar"")"),"مسمار")</f>
        <v>مسمار</v>
      </c>
      <c r="G1622" s="3" t="n">
        <v>0</v>
      </c>
      <c r="H1622" s="3" t="n">
        <v>0</v>
      </c>
    </row>
    <row r="1623" customFormat="false" ht="14.25" hidden="false" customHeight="true" outlineLevel="0" collapsed="false">
      <c r="A1623" s="1"/>
      <c r="B1623" s="1" t="s">
        <v>1761</v>
      </c>
      <c r="C1623" s="1" t="n">
        <v>5</v>
      </c>
      <c r="E1623" s="11" t="s">
        <v>119</v>
      </c>
      <c r="F1623" s="11" t="str">
        <f aca="false">IFERROR(__xludf.dummyfunction("GOOGLETRANSLATE(B1623,""en"",""ar"")"),"الضوضاء")</f>
        <v>الضوضاء</v>
      </c>
      <c r="G1623" s="3" t="n">
        <v>0</v>
      </c>
      <c r="H1623" s="3" t="n">
        <v>0</v>
      </c>
    </row>
    <row r="1624" customFormat="false" ht="14.25" hidden="false" customHeight="true" outlineLevel="0" collapsed="false">
      <c r="A1624" s="1"/>
      <c r="B1624" s="1" t="s">
        <v>1762</v>
      </c>
      <c r="C1624" s="1" t="n">
        <v>5</v>
      </c>
      <c r="E1624" s="11" t="s">
        <v>1763</v>
      </c>
      <c r="F1624" s="11" t="str">
        <f aca="false">IFERROR(__xludf.dummyfunction("GOOGLETRANSLATE(B1624,""en"",""ar"")"),"لا أحد")</f>
        <v>لا أحد</v>
      </c>
      <c r="G1624" s="3" t="n">
        <v>0</v>
      </c>
      <c r="H1624" s="3" t="n">
        <v>0</v>
      </c>
    </row>
    <row r="1625" customFormat="false" ht="14.25" hidden="false" customHeight="true" outlineLevel="0" collapsed="false">
      <c r="A1625" s="1"/>
      <c r="B1625" s="1" t="s">
        <v>1764</v>
      </c>
      <c r="C1625" s="1" t="n">
        <v>5</v>
      </c>
      <c r="E1625" s="11" t="s">
        <v>1210</v>
      </c>
      <c r="F1625" s="11" t="str">
        <f aca="false">IFERROR(__xludf.dummyfunction("GOOGLETRANSLATE(B1625,""en"",""ar"")"),"مناسبات")</f>
        <v>مناسبات</v>
      </c>
      <c r="G1625" s="3" t="n">
        <v>0</v>
      </c>
      <c r="H1625" s="3" t="n">
        <v>0</v>
      </c>
    </row>
    <row r="1626" customFormat="false" ht="14.25" hidden="false" customHeight="true" outlineLevel="0" collapsed="false">
      <c r="A1626" s="1"/>
      <c r="B1626" s="1" t="s">
        <v>1765</v>
      </c>
      <c r="C1626" s="1" t="n">
        <v>5</v>
      </c>
      <c r="E1626" s="11" t="s">
        <v>79</v>
      </c>
      <c r="F1626" s="11" t="str">
        <f aca="false">IFERROR(__xludf.dummyfunction("GOOGLETRANSLATE(B1626,""en"",""ar"")"),"حصيلة")</f>
        <v>حصيلة</v>
      </c>
      <c r="G1626" s="3" t="n">
        <v>0</v>
      </c>
      <c r="H1626" s="3" t="n">
        <v>0</v>
      </c>
    </row>
    <row r="1627" customFormat="false" ht="14.25" hidden="false" customHeight="true" outlineLevel="0" collapsed="false">
      <c r="A1627" s="1"/>
      <c r="B1627" s="1" t="s">
        <v>1766</v>
      </c>
      <c r="C1627" s="1" t="n">
        <v>5</v>
      </c>
      <c r="E1627" s="11" t="s">
        <v>12</v>
      </c>
      <c r="F1627" s="11" t="str">
        <f aca="false">IFERROR(__xludf.dummyfunction("GOOGLETRANSLATE(B1627,""en"",""ar"")"),"التغلب على")</f>
        <v>التغلب على</v>
      </c>
      <c r="G1627" s="3" t="n">
        <v>0</v>
      </c>
      <c r="H1627" s="3" t="n">
        <v>0</v>
      </c>
    </row>
    <row r="1628" customFormat="false" ht="14.25" hidden="false" customHeight="true" outlineLevel="0" collapsed="false">
      <c r="A1628" s="1"/>
      <c r="B1628" s="1" t="s">
        <v>1767</v>
      </c>
      <c r="C1628" s="1" t="n">
        <v>5</v>
      </c>
      <c r="E1628" s="11" t="s">
        <v>12</v>
      </c>
      <c r="F1628" s="11" t="str">
        <f aca="false">IFERROR(__xludf.dummyfunction("GOOGLETRANSLATE(B1628,""en"",""ar"")"),"مدينون")</f>
        <v>مدينون</v>
      </c>
      <c r="G1628" s="3" t="n">
        <v>0</v>
      </c>
      <c r="H1628" s="3" t="n">
        <v>0</v>
      </c>
    </row>
    <row r="1629" customFormat="false" ht="14.25" hidden="false" customHeight="true" outlineLevel="0" collapsed="false">
      <c r="A1629" s="1"/>
      <c r="B1629" s="1" t="s">
        <v>1768</v>
      </c>
      <c r="C1629" s="1" t="n">
        <v>5</v>
      </c>
      <c r="E1629" s="11" t="s">
        <v>119</v>
      </c>
      <c r="F1629" s="11" t="str">
        <f aca="false">IFERROR(__xludf.dummyfunction("GOOGLETRANSLATE(B1629,""en"",""ar"")"),"رزمة")</f>
        <v>رزمة</v>
      </c>
      <c r="G1629" s="3" t="n">
        <v>0</v>
      </c>
      <c r="H1629" s="3" t="n">
        <v>0</v>
      </c>
    </row>
    <row r="1630" customFormat="false" ht="14.25" hidden="false" customHeight="true" outlineLevel="0" collapsed="false">
      <c r="A1630" s="1"/>
      <c r="B1630" s="1" t="s">
        <v>1769</v>
      </c>
      <c r="C1630" s="1" t="n">
        <v>5</v>
      </c>
      <c r="E1630" s="11" t="s">
        <v>148</v>
      </c>
      <c r="F1630" s="11" t="str">
        <f aca="false">IFERROR(__xludf.dummyfunction("GOOGLETRANSLATE(B1630,""en"",""ar"")"),"مريض")</f>
        <v>مريض</v>
      </c>
      <c r="G1630" s="3" t="n">
        <v>0</v>
      </c>
      <c r="H1630" s="3" t="n">
        <v>0</v>
      </c>
    </row>
    <row r="1631" customFormat="false" ht="14.25" hidden="false" customHeight="true" outlineLevel="0" collapsed="false">
      <c r="A1631" s="1"/>
      <c r="B1631" s="1" t="s">
        <v>1770</v>
      </c>
      <c r="C1631" s="1" t="n">
        <v>5</v>
      </c>
      <c r="E1631" s="11" t="s">
        <v>1210</v>
      </c>
      <c r="F1631" s="11" t="str">
        <f aca="false">IFERROR(__xludf.dummyfunction("GOOGLETRANSLATE(B1631,""en"",""ar"")"),"وقفة")</f>
        <v>وقفة</v>
      </c>
      <c r="G1631" s="3" t="n">
        <v>0</v>
      </c>
      <c r="H1631" s="3" t="n">
        <v>0</v>
      </c>
    </row>
    <row r="1632" customFormat="false" ht="14.25" hidden="false" customHeight="true" outlineLevel="0" collapsed="false">
      <c r="A1632" s="1"/>
      <c r="B1632" s="1" t="s">
        <v>1771</v>
      </c>
      <c r="C1632" s="1" t="n">
        <v>5</v>
      </c>
      <c r="E1632" s="11" t="s">
        <v>79</v>
      </c>
      <c r="F1632" s="11" t="str">
        <f aca="false">IFERROR(__xludf.dummyfunction("GOOGLETRANSLATE(B1632,""en"",""ar"")"),"الإذن")</f>
        <v>الإذن</v>
      </c>
      <c r="G1632" s="3" t="n">
        <v>0</v>
      </c>
      <c r="H1632" s="3" t="n">
        <v>0</v>
      </c>
    </row>
    <row r="1633" customFormat="false" ht="14.25" hidden="false" customHeight="true" outlineLevel="0" collapsed="false">
      <c r="A1633" s="1"/>
      <c r="B1633" s="1" t="s">
        <v>1772</v>
      </c>
      <c r="C1633" s="1" t="n">
        <v>5</v>
      </c>
      <c r="E1633" s="11" t="s">
        <v>119</v>
      </c>
      <c r="F1633" s="11" t="str">
        <f aca="false">IFERROR(__xludf.dummyfunction("GOOGLETRANSLATE(B1633,""en"",""ar"")"),"العبارة")</f>
        <v>العبارة</v>
      </c>
      <c r="G1633" s="3" t="n">
        <v>0</v>
      </c>
      <c r="H1633" s="3" t="n">
        <v>0</v>
      </c>
    </row>
    <row r="1634" customFormat="false" ht="14.25" hidden="false" customHeight="true" outlineLevel="0" collapsed="false">
      <c r="A1634" s="1"/>
      <c r="B1634" s="1" t="s">
        <v>1773</v>
      </c>
      <c r="C1634" s="1" t="n">
        <v>5</v>
      </c>
      <c r="E1634" s="11" t="s">
        <v>79</v>
      </c>
      <c r="F1634" s="11" t="str">
        <f aca="false">IFERROR(__xludf.dummyfunction("GOOGLETRANSLATE(B1634,""en"",""ar"")"),"عرض")</f>
        <v>عرض</v>
      </c>
      <c r="G1634" s="3" t="n">
        <v>0</v>
      </c>
      <c r="H1634" s="3" t="n">
        <v>0</v>
      </c>
    </row>
    <row r="1635" customFormat="false" ht="14.25" hidden="false" customHeight="true" outlineLevel="0" collapsed="false">
      <c r="A1635" s="1"/>
      <c r="B1635" s="1" t="s">
        <v>1774</v>
      </c>
      <c r="C1635" s="1" t="n">
        <v>5</v>
      </c>
      <c r="E1635" s="11" t="s">
        <v>1389</v>
      </c>
      <c r="F1635" s="11" t="str">
        <f aca="false">IFERROR(__xludf.dummyfunction("GOOGLETRANSLATE(B1635,""en"",""ar"")"),"قبل")</f>
        <v>قبل</v>
      </c>
      <c r="G1635" s="3" t="n">
        <v>0</v>
      </c>
      <c r="H1635" s="3" t="n">
        <v>0</v>
      </c>
    </row>
    <row r="1636" customFormat="false" ht="14.25" hidden="false" customHeight="true" outlineLevel="0" collapsed="false">
      <c r="A1636" s="1"/>
      <c r="B1636" s="1" t="s">
        <v>1775</v>
      </c>
      <c r="C1636" s="1" t="n">
        <v>5</v>
      </c>
      <c r="E1636" s="11" t="s">
        <v>79</v>
      </c>
      <c r="F1636" s="11" t="str">
        <f aca="false">IFERROR(__xludf.dummyfunction("GOOGLETRANSLATE(B1636,""en"",""ar"")"),"ترقية وظيفية")</f>
        <v>ترقية وظيفية</v>
      </c>
      <c r="G1636" s="3" t="n">
        <v>0</v>
      </c>
      <c r="H1636" s="3" t="n">
        <v>0</v>
      </c>
    </row>
    <row r="1637" customFormat="false" ht="14.25" hidden="false" customHeight="true" outlineLevel="0" collapsed="false">
      <c r="A1637" s="1"/>
      <c r="B1637" s="1" t="s">
        <v>1776</v>
      </c>
      <c r="C1637" s="1" t="n">
        <v>5</v>
      </c>
      <c r="E1637" s="11" t="s">
        <v>83</v>
      </c>
      <c r="F1637" s="11" t="str">
        <f aca="false">IFERROR(__xludf.dummyfunction("GOOGLETRANSLATE(B1637,""en"",""ar"")"),"دليل")</f>
        <v>دليل</v>
      </c>
      <c r="G1637" s="3" t="n">
        <v>0</v>
      </c>
      <c r="H1637" s="3" t="n">
        <v>0</v>
      </c>
    </row>
    <row r="1638" customFormat="false" ht="14.25" hidden="false" customHeight="true" outlineLevel="0" collapsed="false">
      <c r="A1638" s="1"/>
      <c r="B1638" s="1" t="s">
        <v>1777</v>
      </c>
      <c r="C1638" s="1" t="n">
        <v>5</v>
      </c>
      <c r="E1638" s="11" t="s">
        <v>119</v>
      </c>
      <c r="F1638" s="11" t="str">
        <f aca="false">IFERROR(__xludf.dummyfunction("GOOGLETRANSLATE(B1638,""en"",""ar"")"),"العنصر")</f>
        <v>العنصر</v>
      </c>
      <c r="G1638" s="3" t="n">
        <v>0</v>
      </c>
      <c r="H1638" s="3" t="n">
        <v>0</v>
      </c>
    </row>
    <row r="1639" customFormat="false" ht="14.25" hidden="false" customHeight="true" outlineLevel="0" collapsed="false">
      <c r="A1639" s="1"/>
      <c r="B1639" s="1" t="s">
        <v>1778</v>
      </c>
      <c r="C1639" s="1" t="n">
        <v>5</v>
      </c>
      <c r="E1639" s="11" t="s">
        <v>112</v>
      </c>
      <c r="F1639" s="11" t="str">
        <f aca="false">IFERROR(__xludf.dummyfunction("GOOGLETRANSLATE(B1639,""en"",""ar"")"),"مسؤول")</f>
        <v>مسؤول</v>
      </c>
      <c r="G1639" s="3" t="n">
        <v>0</v>
      </c>
      <c r="H1639" s="3" t="n">
        <v>0</v>
      </c>
    </row>
    <row r="1640" customFormat="false" ht="14.25" hidden="false" customHeight="true" outlineLevel="0" collapsed="false">
      <c r="A1640" s="1"/>
      <c r="B1640" s="1" t="s">
        <v>1779</v>
      </c>
      <c r="C1640" s="1" t="n">
        <v>5</v>
      </c>
      <c r="E1640" s="11" t="s">
        <v>79</v>
      </c>
      <c r="F1640" s="11" t="str">
        <f aca="false">IFERROR(__xludf.dummyfunction("GOOGLETRANSLATE(B1640,""en"",""ar"")"),"انعكاس")</f>
        <v>انعكاس</v>
      </c>
      <c r="G1640" s="3" t="n">
        <v>0</v>
      </c>
      <c r="H1640" s="3" t="n">
        <v>0</v>
      </c>
    </row>
    <row r="1641" customFormat="false" ht="14.25" hidden="false" customHeight="true" outlineLevel="0" collapsed="false">
      <c r="A1641" s="1"/>
      <c r="B1641" s="1" t="s">
        <v>1780</v>
      </c>
      <c r="C1641" s="1" t="n">
        <v>5</v>
      </c>
      <c r="E1641" s="11" t="s">
        <v>79</v>
      </c>
      <c r="F1641" s="11" t="str">
        <f aca="false">IFERROR(__xludf.dummyfunction("GOOGLETRANSLATE(B1641,""en"",""ar"")"),"ثلاجة")</f>
        <v>ثلاجة</v>
      </c>
      <c r="G1641" s="3" t="n">
        <v>0</v>
      </c>
      <c r="H1641" s="3" t="n">
        <v>0</v>
      </c>
    </row>
    <row r="1642" customFormat="false" ht="14.25" hidden="false" customHeight="true" outlineLevel="0" collapsed="false">
      <c r="A1642" s="1"/>
      <c r="B1642" s="1" t="s">
        <v>1781</v>
      </c>
      <c r="C1642" s="1" t="n">
        <v>5</v>
      </c>
      <c r="E1642" s="11" t="s">
        <v>1304</v>
      </c>
      <c r="F1642" s="11" t="str">
        <f aca="false">IFERROR(__xludf.dummyfunction("GOOGLETRANSLATE(B1642,""en"",""ar"")"),"ارتياح")</f>
        <v>ارتياح</v>
      </c>
      <c r="G1642" s="3" t="n">
        <v>0</v>
      </c>
      <c r="H1642" s="3" t="n">
        <v>0</v>
      </c>
    </row>
    <row r="1643" customFormat="false" ht="14.25" hidden="false" customHeight="true" outlineLevel="0" collapsed="false">
      <c r="A1643" s="1"/>
      <c r="B1643" s="1" t="s">
        <v>1782</v>
      </c>
      <c r="C1643" s="1" t="n">
        <v>5</v>
      </c>
      <c r="E1643" s="11" t="s">
        <v>94</v>
      </c>
      <c r="F1643" s="11" t="str">
        <f aca="false">IFERROR(__xludf.dummyfunction("GOOGLETRANSLATE(B1643,""en"",""ar"")"),"يصلح")</f>
        <v>يصلح</v>
      </c>
      <c r="G1643" s="3" t="n">
        <v>0</v>
      </c>
      <c r="H1643" s="3" t="n">
        <v>0</v>
      </c>
    </row>
    <row r="1644" customFormat="false" ht="14.25" hidden="false" customHeight="true" outlineLevel="0" collapsed="false">
      <c r="A1644" s="1"/>
      <c r="B1644" s="1" t="s">
        <v>1783</v>
      </c>
      <c r="C1644" s="1" t="n">
        <v>5</v>
      </c>
      <c r="E1644" s="11" t="s">
        <v>79</v>
      </c>
      <c r="F1644" s="11" t="str">
        <f aca="false">IFERROR(__xludf.dummyfunction("GOOGLETRANSLATE(B1644,""en"",""ar"")"),"الدقة")</f>
        <v>الدقة</v>
      </c>
      <c r="G1644" s="3" t="n">
        <v>0</v>
      </c>
      <c r="H1644" s="3" t="n">
        <v>0</v>
      </c>
    </row>
    <row r="1645" customFormat="false" ht="14.25" hidden="false" customHeight="true" outlineLevel="0" collapsed="false">
      <c r="A1645" s="1"/>
      <c r="B1645" s="1" t="s">
        <v>1784</v>
      </c>
      <c r="C1645" s="1" t="n">
        <v>5</v>
      </c>
      <c r="E1645" s="11" t="s">
        <v>79</v>
      </c>
      <c r="F1645" s="11" t="str">
        <f aca="false">IFERROR(__xludf.dummyfunction("GOOGLETRANSLATE(B1645,""en"",""ar"")"),"إيرادات")</f>
        <v>إيرادات</v>
      </c>
      <c r="G1645" s="3" t="n">
        <v>0</v>
      </c>
      <c r="H1645" s="3" t="n">
        <v>0</v>
      </c>
    </row>
    <row r="1646" customFormat="false" ht="14.25" hidden="false" customHeight="true" outlineLevel="0" collapsed="false">
      <c r="A1646" s="1"/>
      <c r="B1646" s="1" t="s">
        <v>1785</v>
      </c>
      <c r="C1646" s="1" t="n">
        <v>5</v>
      </c>
      <c r="E1646" s="11" t="s">
        <v>207</v>
      </c>
      <c r="F1646" s="11" t="str">
        <f aca="false">IFERROR(__xludf.dummyfunction("GOOGLETRANSLATE(B1646,""en"",""ar"")"),"الخام")</f>
        <v>الخام</v>
      </c>
      <c r="G1646" s="3" t="n">
        <v>0</v>
      </c>
      <c r="H1646" s="3" t="n">
        <v>0</v>
      </c>
    </row>
    <row r="1647" customFormat="false" ht="14.25" hidden="false" customHeight="true" outlineLevel="0" collapsed="false">
      <c r="A1647" s="1"/>
      <c r="B1647" s="1" t="s">
        <v>1786</v>
      </c>
      <c r="C1647" s="1" t="n">
        <v>5</v>
      </c>
      <c r="E1647" s="11" t="s">
        <v>235</v>
      </c>
      <c r="F1647" s="11" t="str">
        <f aca="false">IFERROR(__xludf.dummyfunction("GOOGLETRANSLATE(B1647,""en"",""ar"")"),"حزين")</f>
        <v>حزين</v>
      </c>
      <c r="G1647" s="3" t="n">
        <v>0</v>
      </c>
      <c r="H1647" s="3" t="n">
        <v>0</v>
      </c>
    </row>
    <row r="1648" customFormat="false" ht="14.25" hidden="false" customHeight="true" outlineLevel="0" collapsed="false">
      <c r="A1648" s="1"/>
      <c r="B1648" s="1" t="s">
        <v>1787</v>
      </c>
      <c r="C1648" s="1" t="n">
        <v>5</v>
      </c>
      <c r="E1648" s="11" t="s">
        <v>1210</v>
      </c>
      <c r="F1648" s="11" t="str">
        <f aca="false">IFERROR(__xludf.dummyfunction("GOOGLETRANSLATE(B1648,""en"",""ar"")"),"رمل")</f>
        <v>رمل</v>
      </c>
      <c r="G1648" s="3" t="n">
        <v>0</v>
      </c>
      <c r="H1648" s="3" t="n">
        <v>0</v>
      </c>
    </row>
    <row r="1649" customFormat="false" ht="14.25" hidden="false" customHeight="true" outlineLevel="0" collapsed="false">
      <c r="A1649" s="1"/>
      <c r="B1649" s="1" t="s">
        <v>1788</v>
      </c>
      <c r="C1649" s="1" t="n">
        <v>5</v>
      </c>
      <c r="E1649" s="11" t="s">
        <v>1347</v>
      </c>
      <c r="F1649" s="11" t="str">
        <f aca="false">IFERROR(__xludf.dummyfunction("GOOGLETRANSLATE(B1649,""en"",""ar"")"),"خدش")</f>
        <v>خدش</v>
      </c>
      <c r="G1649" s="3" t="n">
        <v>0</v>
      </c>
      <c r="H1649" s="3" t="n">
        <v>0</v>
      </c>
    </row>
    <row r="1650" customFormat="false" ht="14.25" hidden="false" customHeight="true" outlineLevel="0" collapsed="false">
      <c r="A1650" s="1"/>
      <c r="B1650" s="1" t="s">
        <v>1789</v>
      </c>
      <c r="C1650" s="1" t="n">
        <v>5</v>
      </c>
      <c r="E1650" s="11" t="s">
        <v>119</v>
      </c>
      <c r="F1650" s="11" t="str">
        <f aca="false">IFERROR(__xludf.dummyfunction("GOOGLETRANSLATE(B1650,""en"",""ar"")"),"جملة او حكم على")</f>
        <v>جملة او حكم على</v>
      </c>
      <c r="G1650" s="3" t="n">
        <v>0</v>
      </c>
      <c r="H1650" s="3" t="n">
        <v>0</v>
      </c>
    </row>
    <row r="1651" customFormat="false" ht="14.25" hidden="false" customHeight="true" outlineLevel="0" collapsed="false">
      <c r="A1651" s="1"/>
      <c r="B1651" s="1" t="s">
        <v>1790</v>
      </c>
      <c r="C1651" s="1" t="n">
        <v>5</v>
      </c>
      <c r="E1651" s="11" t="s">
        <v>79</v>
      </c>
      <c r="F1651" s="11" t="str">
        <f aca="false">IFERROR(__xludf.dummyfunction("GOOGLETRANSLATE(B1651,""en"",""ar"")"),"جلسة")</f>
        <v>جلسة</v>
      </c>
      <c r="G1651" s="3" t="n">
        <v>0</v>
      </c>
      <c r="H1651" s="3" t="n">
        <v>0</v>
      </c>
    </row>
    <row r="1652" customFormat="false" ht="14.25" hidden="false" customHeight="true" outlineLevel="0" collapsed="false">
      <c r="A1652" s="1"/>
      <c r="B1652" s="1" t="s">
        <v>1791</v>
      </c>
      <c r="C1652" s="1" t="n">
        <v>5</v>
      </c>
      <c r="E1652" s="11" t="s">
        <v>1210</v>
      </c>
      <c r="F1652" s="11" t="str">
        <f aca="false">IFERROR(__xludf.dummyfunction("GOOGLETRANSLATE(B1652,""en"",""ar"")"),"كتف")</f>
        <v>كتف</v>
      </c>
      <c r="G1652" s="3" t="n">
        <v>0</v>
      </c>
      <c r="H1652" s="3" t="n">
        <v>0</v>
      </c>
    </row>
    <row r="1653" customFormat="false" ht="14.25" hidden="false" customHeight="true" outlineLevel="0" collapsed="false">
      <c r="A1653" s="1"/>
      <c r="B1653" s="1" t="s">
        <v>1792</v>
      </c>
      <c r="C1653" s="1" t="n">
        <v>5</v>
      </c>
      <c r="E1653" s="11" t="s">
        <v>1389</v>
      </c>
      <c r="F1653" s="11" t="str">
        <f aca="false">IFERROR(__xludf.dummyfunction("GOOGLETRANSLATE(B1653,""en"",""ar"")"),"مرض")</f>
        <v>مرض</v>
      </c>
      <c r="G1653" s="3" t="n">
        <v>0</v>
      </c>
      <c r="H1653" s="3" t="n">
        <v>0</v>
      </c>
    </row>
    <row r="1654" customFormat="false" ht="14.25" hidden="false" customHeight="true" outlineLevel="0" collapsed="false">
      <c r="A1654" s="1"/>
      <c r="B1654" s="1" t="s">
        <v>1793</v>
      </c>
      <c r="C1654" s="1" t="n">
        <v>5</v>
      </c>
      <c r="E1654" s="11" t="s">
        <v>79</v>
      </c>
      <c r="F1654" s="11" t="str">
        <f aca="false">IFERROR(__xludf.dummyfunction("GOOGLETRANSLATE(B1654,""en"",""ar"")"),"مطرب")</f>
        <v>مطرب</v>
      </c>
      <c r="G1654" s="3" t="n">
        <v>0</v>
      </c>
      <c r="H1654" s="3" t="n">
        <v>0</v>
      </c>
    </row>
    <row r="1655" customFormat="false" ht="14.25" hidden="false" customHeight="true" outlineLevel="0" collapsed="false">
      <c r="A1655" s="1"/>
      <c r="B1655" s="1" t="s">
        <v>1794</v>
      </c>
      <c r="C1655" s="1" t="n">
        <v>5</v>
      </c>
      <c r="E1655" s="11" t="s">
        <v>1210</v>
      </c>
      <c r="F1655" s="11" t="str">
        <f aca="false">IFERROR(__xludf.dummyfunction("GOOGLETRANSLATE(B1655,""en"",""ar"")"),"دخان")</f>
        <v>دخان</v>
      </c>
      <c r="G1655" s="3" t="n">
        <v>0</v>
      </c>
      <c r="H1655" s="3" t="n">
        <v>0</v>
      </c>
    </row>
    <row r="1656" customFormat="false" ht="14.25" hidden="false" customHeight="true" outlineLevel="0" collapsed="false">
      <c r="A1656" s="1"/>
      <c r="B1656" s="1" t="s">
        <v>1795</v>
      </c>
      <c r="C1656" s="1" t="n">
        <v>5</v>
      </c>
      <c r="E1656" s="11" t="s">
        <v>119</v>
      </c>
      <c r="F1656" s="11" t="str">
        <f aca="false">IFERROR(__xludf.dummyfunction("GOOGLETRANSLATE(B1656,""en"",""ar"")"),"معدة")</f>
        <v>معدة</v>
      </c>
      <c r="G1656" s="3" t="n">
        <v>0</v>
      </c>
      <c r="H1656" s="3" t="n">
        <v>0</v>
      </c>
    </row>
    <row r="1657" customFormat="false" ht="14.25" hidden="false" customHeight="true" outlineLevel="0" collapsed="false">
      <c r="A1657" s="1"/>
      <c r="B1657" s="1" t="s">
        <v>1796</v>
      </c>
      <c r="C1657" s="1" t="n">
        <v>5</v>
      </c>
      <c r="E1657" s="11" t="s">
        <v>50</v>
      </c>
      <c r="F1657" s="11" t="str">
        <f aca="false">IFERROR(__xludf.dummyfunction("GOOGLETRANSLATE(B1657,""en"",""ar"")"),"غريب")</f>
        <v>غريب</v>
      </c>
      <c r="G1657" s="3" t="n">
        <v>0</v>
      </c>
      <c r="H1657" s="3" t="n">
        <v>0</v>
      </c>
    </row>
    <row r="1658" customFormat="false" ht="14.25" hidden="false" customHeight="true" outlineLevel="0" collapsed="false">
      <c r="A1658" s="1"/>
      <c r="B1658" s="1" t="s">
        <v>1797</v>
      </c>
      <c r="C1658" s="1" t="n">
        <v>5</v>
      </c>
      <c r="E1658" s="11" t="s">
        <v>112</v>
      </c>
      <c r="F1658" s="11" t="str">
        <f aca="false">IFERROR(__xludf.dummyfunction("GOOGLETRANSLATE(B1658,""en"",""ar"")"),"صارم")</f>
        <v>صارم</v>
      </c>
      <c r="G1658" s="3" t="n">
        <v>0</v>
      </c>
      <c r="H1658" s="3" t="n">
        <v>0</v>
      </c>
    </row>
    <row r="1659" customFormat="false" ht="14.25" hidden="false" customHeight="true" outlineLevel="0" collapsed="false">
      <c r="A1659" s="1"/>
      <c r="B1659" s="1" t="s">
        <v>1798</v>
      </c>
      <c r="C1659" s="1" t="n">
        <v>5</v>
      </c>
      <c r="E1659" s="11" t="s">
        <v>1347</v>
      </c>
      <c r="F1659" s="11" t="str">
        <f aca="false">IFERROR(__xludf.dummyfunction("GOOGLETRANSLATE(B1659,""en"",""ar"")"),"إضراب")</f>
        <v>إضراب</v>
      </c>
      <c r="G1659" s="3" t="n">
        <v>0</v>
      </c>
      <c r="H1659" s="3" t="n">
        <v>0</v>
      </c>
    </row>
    <row r="1660" customFormat="false" ht="14.25" hidden="false" customHeight="true" outlineLevel="0" collapsed="false">
      <c r="A1660" s="1"/>
      <c r="B1660" s="1" t="s">
        <v>1799</v>
      </c>
      <c r="C1660" s="1" t="n">
        <v>5</v>
      </c>
      <c r="E1660" s="11" t="s">
        <v>1210</v>
      </c>
      <c r="F1660" s="11" t="str">
        <f aca="false">IFERROR(__xludf.dummyfunction("GOOGLETRANSLATE(B1660,""en"",""ar"")"),"خيط")</f>
        <v>خيط</v>
      </c>
      <c r="G1660" s="3" t="n">
        <v>0</v>
      </c>
      <c r="H1660" s="3" t="n">
        <v>0</v>
      </c>
    </row>
    <row r="1661" customFormat="false" ht="14.25" hidden="false" customHeight="true" outlineLevel="0" collapsed="false">
      <c r="A1661" s="1"/>
      <c r="B1661" s="1" t="s">
        <v>1800</v>
      </c>
      <c r="C1661" s="1" t="n">
        <v>5</v>
      </c>
      <c r="E1661" s="11" t="s">
        <v>12</v>
      </c>
      <c r="F1661" s="11" t="str">
        <f aca="false">IFERROR(__xludf.dummyfunction("GOOGLETRANSLATE(B1661,""en"",""ar"")"),"ينجح")</f>
        <v>ينجح</v>
      </c>
      <c r="G1661" s="3" t="n">
        <v>0</v>
      </c>
      <c r="H1661" s="3" t="n">
        <v>0</v>
      </c>
    </row>
    <row r="1662" customFormat="false" ht="14.25" hidden="false" customHeight="true" outlineLevel="0" collapsed="false">
      <c r="A1662" s="1"/>
      <c r="B1662" s="1" t="s">
        <v>1801</v>
      </c>
      <c r="C1662" s="1" t="n">
        <v>5</v>
      </c>
      <c r="E1662" s="11" t="s">
        <v>42</v>
      </c>
      <c r="F1662" s="11" t="str">
        <f aca="false">IFERROR(__xludf.dummyfunction("GOOGLETRANSLATE(B1662,""en"",""ar"")"),"بنجاح")</f>
        <v>بنجاح</v>
      </c>
      <c r="G1662" s="3" t="n">
        <v>0</v>
      </c>
      <c r="H1662" s="3" t="n">
        <v>0</v>
      </c>
    </row>
    <row r="1663" customFormat="false" ht="14.25" hidden="false" customHeight="true" outlineLevel="0" collapsed="false">
      <c r="A1663" s="1"/>
      <c r="B1663" s="1" t="s">
        <v>1802</v>
      </c>
      <c r="C1663" s="1" t="n">
        <v>5</v>
      </c>
      <c r="E1663" s="11" t="s">
        <v>42</v>
      </c>
      <c r="F1663" s="11" t="str">
        <f aca="false">IFERROR(__xludf.dummyfunction("GOOGLETRANSLATE(B1663,""en"",""ar"")"),"فجأة")</f>
        <v>فجأة</v>
      </c>
      <c r="G1663" s="3" t="n">
        <v>0</v>
      </c>
      <c r="H1663" s="3" t="n">
        <v>0</v>
      </c>
    </row>
    <row r="1664" customFormat="false" ht="14.25" hidden="false" customHeight="true" outlineLevel="0" collapsed="false">
      <c r="A1664" s="1"/>
      <c r="B1664" s="1" t="s">
        <v>1803</v>
      </c>
      <c r="C1664" s="1" t="n">
        <v>5</v>
      </c>
      <c r="E1664" s="11" t="s">
        <v>12</v>
      </c>
      <c r="F1664" s="11" t="str">
        <f aca="false">IFERROR(__xludf.dummyfunction("GOOGLETRANSLATE(B1664,""en"",""ar"")"),"يعاني")</f>
        <v>يعاني</v>
      </c>
      <c r="G1664" s="3" t="n">
        <v>0</v>
      </c>
      <c r="H1664" s="3" t="n">
        <v>0</v>
      </c>
    </row>
    <row r="1665" customFormat="false" ht="14.25" hidden="false" customHeight="true" outlineLevel="0" collapsed="false">
      <c r="A1665" s="1"/>
      <c r="B1665" s="1" t="s">
        <v>1804</v>
      </c>
      <c r="C1665" s="1" t="n">
        <v>5</v>
      </c>
      <c r="E1665" s="11" t="s">
        <v>87</v>
      </c>
      <c r="F1665" s="11" t="str">
        <f aca="false">IFERROR(__xludf.dummyfunction("GOOGLETRANSLATE(B1665,""en"",""ar"")"),"فاجأ")</f>
        <v>فاجأ</v>
      </c>
      <c r="G1665" s="3" t="n">
        <v>0</v>
      </c>
      <c r="H1665" s="3" t="n">
        <v>0</v>
      </c>
    </row>
    <row r="1666" customFormat="false" ht="14.25" hidden="false" customHeight="true" outlineLevel="0" collapsed="false">
      <c r="A1666" s="1"/>
      <c r="B1666" s="1" t="s">
        <v>1805</v>
      </c>
      <c r="C1666" s="1" t="n">
        <v>5</v>
      </c>
      <c r="E1666" s="11" t="s">
        <v>79</v>
      </c>
      <c r="F1666" s="11" t="str">
        <f aca="false">IFERROR(__xludf.dummyfunction("GOOGLETRANSLATE(B1666,""en"",""ar"")"),"تنس")</f>
        <v>تنس</v>
      </c>
      <c r="G1666" s="3" t="n">
        <v>0</v>
      </c>
      <c r="H1666" s="3" t="n">
        <v>0</v>
      </c>
    </row>
    <row r="1667" customFormat="false" ht="14.25" hidden="false" customHeight="true" outlineLevel="0" collapsed="false">
      <c r="A1667" s="1"/>
      <c r="B1667" s="1" t="s">
        <v>1806</v>
      </c>
      <c r="C1667" s="1" t="n">
        <v>5</v>
      </c>
      <c r="E1667" s="11" t="s">
        <v>12</v>
      </c>
      <c r="F1667" s="11" t="str">
        <f aca="false">IFERROR(__xludf.dummyfunction("GOOGLETRANSLATE(B1667,""en"",""ar"")"),"رمي")</f>
        <v>رمي</v>
      </c>
      <c r="G1667" s="3" t="n">
        <v>0</v>
      </c>
      <c r="H1667" s="3" t="n">
        <v>0</v>
      </c>
    </row>
    <row r="1668" customFormat="false" ht="14.25" hidden="false" customHeight="true" outlineLevel="0" collapsed="false">
      <c r="A1668" s="1"/>
      <c r="B1668" s="1" t="s">
        <v>1807</v>
      </c>
      <c r="C1668" s="1" t="n">
        <v>5</v>
      </c>
      <c r="E1668" s="11" t="s">
        <v>786</v>
      </c>
      <c r="F1668" s="11" t="str">
        <f aca="false">IFERROR(__xludf.dummyfunction("GOOGLETRANSLATE(B1668,""en"",""ar"")"),"سياحي")</f>
        <v>سياحي</v>
      </c>
      <c r="G1668" s="3" t="n">
        <v>0</v>
      </c>
      <c r="H1668" s="3" t="n">
        <v>0</v>
      </c>
    </row>
    <row r="1669" customFormat="false" ht="14.25" hidden="false" customHeight="true" outlineLevel="0" collapsed="false">
      <c r="A1669" s="1"/>
      <c r="B1669" s="1" t="s">
        <v>1808</v>
      </c>
      <c r="C1669" s="1" t="n">
        <v>5</v>
      </c>
      <c r="E1669" s="11" t="s">
        <v>119</v>
      </c>
      <c r="F1669" s="11" t="str">
        <f aca="false">IFERROR(__xludf.dummyfunction("GOOGLETRANSLATE(B1669,""en"",""ar"")"),"منشفة")</f>
        <v>منشفة</v>
      </c>
      <c r="G1669" s="3" t="n">
        <v>0</v>
      </c>
      <c r="H1669" s="3" t="n">
        <v>0</v>
      </c>
    </row>
    <row r="1670" customFormat="false" ht="14.25" hidden="false" customHeight="true" outlineLevel="0" collapsed="false">
      <c r="A1670" s="1"/>
      <c r="B1670" s="1" t="s">
        <v>1809</v>
      </c>
      <c r="C1670" s="1" t="n">
        <v>5</v>
      </c>
      <c r="E1670" s="11" t="s">
        <v>42</v>
      </c>
      <c r="F1670" s="11" t="str">
        <f aca="false">IFERROR(__xludf.dummyfunction("GOOGLETRANSLATE(B1670,""en"",""ar"")"),"حقا")</f>
        <v>حقا</v>
      </c>
      <c r="G1670" s="3" t="n">
        <v>0</v>
      </c>
      <c r="H1670" s="3" t="n">
        <v>0</v>
      </c>
    </row>
    <row r="1671" customFormat="false" ht="14.25" hidden="false" customHeight="true" outlineLevel="0" collapsed="false">
      <c r="A1671" s="1"/>
      <c r="B1671" s="1" t="s">
        <v>1810</v>
      </c>
      <c r="C1671" s="1" t="n">
        <v>5</v>
      </c>
      <c r="E1671" s="11" t="s">
        <v>119</v>
      </c>
      <c r="F1671" s="11" t="str">
        <f aca="false">IFERROR(__xludf.dummyfunction("GOOGLETRANSLATE(B1671,""en"",""ar"")"),"عطلة")</f>
        <v>عطلة</v>
      </c>
      <c r="G1671" s="3" t="n">
        <v>0</v>
      </c>
      <c r="H1671" s="3" t="n">
        <v>0</v>
      </c>
    </row>
    <row r="1672" customFormat="false" ht="14.25" hidden="false" customHeight="true" outlineLevel="0" collapsed="false">
      <c r="A1672" s="1"/>
      <c r="B1672" s="1" t="s">
        <v>1811</v>
      </c>
      <c r="C1672" s="1" t="n">
        <v>5</v>
      </c>
      <c r="E1672" s="11" t="s">
        <v>42</v>
      </c>
      <c r="F1672" s="11" t="str">
        <f aca="false">IFERROR(__xludf.dummyfunction("GOOGLETRANSLATE(B1672,""en"",""ar"")"),"عمليا")</f>
        <v>عمليا</v>
      </c>
      <c r="G1672" s="3" t="n">
        <v>0</v>
      </c>
      <c r="H1672" s="3" t="n">
        <v>0</v>
      </c>
    </row>
    <row r="1673" customFormat="false" ht="14.25" hidden="false" customHeight="true" outlineLevel="0" collapsed="false">
      <c r="A1673" s="1"/>
      <c r="B1673" s="1" t="s">
        <v>1812</v>
      </c>
      <c r="C1673" s="1" t="n">
        <v>5</v>
      </c>
      <c r="E1673" s="11" t="s">
        <v>1813</v>
      </c>
      <c r="F1673" s="11" t="str">
        <f aca="false">IFERROR(__xludf.dummyfunction("GOOGLETRANSLATE(B1673,""en"",""ar"")"),"غرب")</f>
        <v>غرب</v>
      </c>
      <c r="G1673" s="3" t="n">
        <v>0</v>
      </c>
      <c r="H1673" s="3" t="n">
        <v>0</v>
      </c>
    </row>
    <row r="1674" customFormat="false" ht="14.25" hidden="false" customHeight="true" outlineLevel="0" collapsed="false">
      <c r="A1674" s="1"/>
      <c r="B1674" s="1" t="s">
        <v>1814</v>
      </c>
      <c r="C1674" s="1" t="n">
        <v>5</v>
      </c>
      <c r="E1674" s="11" t="s">
        <v>1210</v>
      </c>
      <c r="F1674" s="11" t="str">
        <f aca="false">IFERROR(__xludf.dummyfunction("GOOGLETRANSLATE(B1674,""en"",""ar"")"),"عجلة")</f>
        <v>عجلة</v>
      </c>
      <c r="G1674" s="3" t="n">
        <v>0</v>
      </c>
      <c r="H1674" s="3" t="n">
        <v>0</v>
      </c>
    </row>
    <row r="1675" customFormat="false" ht="14.25" hidden="false" customHeight="true" outlineLevel="0" collapsed="false">
      <c r="A1675" s="1"/>
      <c r="B1675" s="1" t="s">
        <v>1815</v>
      </c>
      <c r="C1675" s="1" t="n">
        <v>5</v>
      </c>
      <c r="E1675" s="11" t="s">
        <v>1283</v>
      </c>
      <c r="F1675" s="11" t="str">
        <f aca="false">IFERROR(__xludf.dummyfunction("GOOGLETRANSLATE(B1675,""en"",""ar"")"),"خمر")</f>
        <v>خمر</v>
      </c>
      <c r="G1675" s="3" t="n">
        <v>0</v>
      </c>
      <c r="H1675" s="3" t="n">
        <v>0</v>
      </c>
    </row>
    <row r="1676" customFormat="false" ht="14.25" hidden="false" customHeight="true" outlineLevel="0" collapsed="false">
      <c r="A1676" s="1"/>
      <c r="B1676" s="1" t="s">
        <v>1816</v>
      </c>
      <c r="C1676" s="1" t="n">
        <v>4</v>
      </c>
      <c r="E1676" s="11" t="s">
        <v>12</v>
      </c>
      <c r="F1676" s="11" t="str">
        <f aca="false">IFERROR(__xludf.dummyfunction("GOOGLETRANSLATE(B1676,""en"",""ar"")"),"يستحوذ على")</f>
        <v>يستحوذ على</v>
      </c>
      <c r="G1676" s="3" t="n">
        <v>0</v>
      </c>
      <c r="H1676" s="3" t="n">
        <v>0</v>
      </c>
    </row>
    <row r="1677" customFormat="false" ht="14.25" hidden="false" customHeight="true" outlineLevel="0" collapsed="false">
      <c r="A1677" s="1"/>
      <c r="B1677" s="1" t="s">
        <v>1817</v>
      </c>
      <c r="C1677" s="1" t="n">
        <v>4</v>
      </c>
      <c r="E1677" s="11" t="s">
        <v>12</v>
      </c>
      <c r="F1677" s="11" t="str">
        <f aca="false">IFERROR(__xludf.dummyfunction("GOOGLETRANSLATE(B1677,""en"",""ar"")"),"تأقلم")</f>
        <v>تأقلم</v>
      </c>
      <c r="G1677" s="3" t="n">
        <v>0</v>
      </c>
      <c r="H1677" s="3" t="n">
        <v>0</v>
      </c>
    </row>
    <row r="1678" customFormat="false" ht="14.25" hidden="false" customHeight="true" outlineLevel="0" collapsed="false">
      <c r="A1678" s="1"/>
      <c r="B1678" s="1" t="s">
        <v>1818</v>
      </c>
      <c r="C1678" s="1" t="n">
        <v>4</v>
      </c>
      <c r="E1678" s="11" t="s">
        <v>12</v>
      </c>
      <c r="F1678" s="11" t="str">
        <f aca="false">IFERROR(__xludf.dummyfunction("GOOGLETRANSLATE(B1678,""en"",""ar"")"),"يعدل")</f>
        <v>يعدل</v>
      </c>
      <c r="G1678" s="3" t="n">
        <v>0</v>
      </c>
      <c r="H1678" s="3" t="n">
        <v>0</v>
      </c>
    </row>
    <row r="1679" customFormat="false" ht="14.25" hidden="false" customHeight="true" outlineLevel="0" collapsed="false">
      <c r="A1679" s="1"/>
      <c r="B1679" s="1" t="s">
        <v>1819</v>
      </c>
      <c r="C1679" s="1" t="n">
        <v>4</v>
      </c>
      <c r="E1679" s="11" t="s">
        <v>112</v>
      </c>
      <c r="F1679" s="11" t="str">
        <f aca="false">IFERROR(__xludf.dummyfunction("GOOGLETRANSLATE(B1679,""en"",""ar"")"),"إداري")</f>
        <v>إداري</v>
      </c>
      <c r="G1679" s="3" t="n">
        <v>0</v>
      </c>
      <c r="H1679" s="3" t="n">
        <v>0</v>
      </c>
    </row>
    <row r="1680" customFormat="false" ht="14.25" hidden="false" customHeight="true" outlineLevel="0" collapsed="false">
      <c r="A1680" s="1"/>
      <c r="B1680" s="1" t="s">
        <v>1820</v>
      </c>
      <c r="C1680" s="1" t="n">
        <v>4</v>
      </c>
      <c r="E1680" s="11" t="s">
        <v>42</v>
      </c>
      <c r="F1680" s="11" t="str">
        <f aca="false">IFERROR(__xludf.dummyfunction("GOOGLETRANSLATE(B1680,""en"",""ar"")"),"كليا")</f>
        <v>كليا</v>
      </c>
      <c r="G1680" s="3" t="n">
        <v>0</v>
      </c>
      <c r="H1680" s="3" t="n">
        <v>0</v>
      </c>
    </row>
    <row r="1681" customFormat="false" ht="14.25" hidden="false" customHeight="true" outlineLevel="0" collapsed="false">
      <c r="A1681" s="1"/>
      <c r="B1681" s="1" t="s">
        <v>1821</v>
      </c>
      <c r="C1681" s="1" t="n">
        <v>4</v>
      </c>
      <c r="E1681" s="11" t="s">
        <v>42</v>
      </c>
      <c r="F1681" s="11" t="str">
        <f aca="false">IFERROR(__xludf.dummyfunction("GOOGLETRANSLATE(B1681,""en"",""ar"")"),"على أي حال")</f>
        <v>على أي حال</v>
      </c>
      <c r="G1681" s="3" t="n">
        <v>0</v>
      </c>
      <c r="H1681" s="3" t="n">
        <v>0</v>
      </c>
    </row>
    <row r="1682" customFormat="false" ht="14.25" hidden="false" customHeight="true" outlineLevel="0" collapsed="false">
      <c r="A1682" s="1"/>
      <c r="B1682" s="1" t="s">
        <v>1822</v>
      </c>
      <c r="C1682" s="1" t="n">
        <v>4</v>
      </c>
      <c r="E1682" s="11" t="s">
        <v>12</v>
      </c>
      <c r="F1682" s="11" t="str">
        <f aca="false">IFERROR(__xludf.dummyfunction("GOOGLETRANSLATE(B1682,""en"",""ar"")"),"تجادل")</f>
        <v>تجادل</v>
      </c>
      <c r="G1682" s="3" t="n">
        <v>0</v>
      </c>
      <c r="H1682" s="3" t="n">
        <v>0</v>
      </c>
    </row>
    <row r="1683" customFormat="false" ht="14.25" hidden="false" customHeight="true" outlineLevel="0" collapsed="false">
      <c r="A1683" s="1"/>
      <c r="B1683" s="1" t="s">
        <v>1823</v>
      </c>
      <c r="C1683" s="1" t="n">
        <v>4</v>
      </c>
      <c r="E1683" s="11" t="s">
        <v>12</v>
      </c>
      <c r="F1683" s="11" t="str">
        <f aca="false">IFERROR(__xludf.dummyfunction("GOOGLETRANSLATE(B1683,""en"",""ar"")"),"تنشأ")</f>
        <v>تنشأ</v>
      </c>
      <c r="G1683" s="3" t="n">
        <v>0</v>
      </c>
      <c r="H1683" s="3" t="n">
        <v>0</v>
      </c>
    </row>
    <row r="1684" customFormat="false" ht="14.25" hidden="false" customHeight="true" outlineLevel="0" collapsed="false">
      <c r="A1684" s="1"/>
      <c r="B1684" s="1" t="s">
        <v>1824</v>
      </c>
      <c r="C1684" s="1" t="n">
        <v>4</v>
      </c>
      <c r="E1684" s="11" t="s">
        <v>119</v>
      </c>
      <c r="F1684" s="11" t="str">
        <f aca="false">IFERROR(__xludf.dummyfunction("GOOGLETRANSLATE(B1684,""en"",""ar"")"),"ذراع")</f>
        <v>ذراع</v>
      </c>
      <c r="G1684" s="3" t="n">
        <v>0</v>
      </c>
      <c r="H1684" s="3" t="n">
        <v>0</v>
      </c>
    </row>
    <row r="1685" customFormat="false" ht="14.25" hidden="false" customHeight="true" outlineLevel="0" collapsed="false">
      <c r="A1685" s="1"/>
      <c r="B1685" s="1" t="s">
        <v>1825</v>
      </c>
      <c r="C1685" s="1" t="n">
        <v>4</v>
      </c>
      <c r="E1685" s="11" t="s">
        <v>786</v>
      </c>
      <c r="F1685" s="11" t="str">
        <f aca="false">IFERROR(__xludf.dummyfunction("GOOGLETRANSLATE(B1685,""en"",""ar"")"),"جانبا")</f>
        <v>جانبا</v>
      </c>
      <c r="G1685" s="3" t="n">
        <v>0</v>
      </c>
      <c r="H1685" s="3" t="n">
        <v>0</v>
      </c>
    </row>
    <row r="1686" customFormat="false" ht="14.25" hidden="false" customHeight="true" outlineLevel="0" collapsed="false">
      <c r="A1686" s="1"/>
      <c r="B1686" s="1" t="s">
        <v>1826</v>
      </c>
      <c r="C1686" s="1" t="n">
        <v>4</v>
      </c>
      <c r="E1686" s="11" t="s">
        <v>128</v>
      </c>
      <c r="F1686" s="11" t="str">
        <f aca="false">IFERROR(__xludf.dummyfunction("GOOGLETRANSLATE(B1686,""en"",""ar"")"),"مساعد")</f>
        <v>مساعد</v>
      </c>
      <c r="G1686" s="3" t="n">
        <v>0</v>
      </c>
      <c r="H1686" s="3" t="n">
        <v>0</v>
      </c>
    </row>
    <row r="1687" customFormat="false" ht="14.25" hidden="false" customHeight="true" outlineLevel="0" collapsed="false">
      <c r="A1687" s="1"/>
      <c r="B1687" s="1" t="s">
        <v>1827</v>
      </c>
      <c r="C1687" s="1" t="n">
        <v>4</v>
      </c>
      <c r="E1687" s="11" t="s">
        <v>112</v>
      </c>
      <c r="F1687" s="11" t="str">
        <f aca="false">IFERROR(__xludf.dummyfunction("GOOGLETRANSLATE(B1687,""en"",""ar"")"),"تلقائي")</f>
        <v>تلقائي</v>
      </c>
      <c r="G1687" s="3" t="n">
        <v>0</v>
      </c>
      <c r="H1687" s="3" t="n">
        <v>0</v>
      </c>
    </row>
    <row r="1688" customFormat="false" ht="14.25" hidden="false" customHeight="true" outlineLevel="0" collapsed="false">
      <c r="A1688" s="1"/>
      <c r="B1688" s="1" t="s">
        <v>1828</v>
      </c>
      <c r="C1688" s="1" t="n">
        <v>4</v>
      </c>
      <c r="E1688" s="11" t="s">
        <v>42</v>
      </c>
      <c r="F1688" s="11" t="str">
        <f aca="false">IFERROR(__xludf.dummyfunction("GOOGLETRANSLATE(B1688,""en"",""ar"")"),"تلقائيا")</f>
        <v>تلقائيا</v>
      </c>
      <c r="G1688" s="3" t="n">
        <v>0</v>
      </c>
      <c r="H1688" s="3" t="n">
        <v>0</v>
      </c>
    </row>
    <row r="1689" customFormat="false" ht="14.25" hidden="false" customHeight="true" outlineLevel="0" collapsed="false">
      <c r="A1689" s="1"/>
      <c r="B1689" s="1" t="s">
        <v>1829</v>
      </c>
      <c r="C1689" s="1" t="n">
        <v>4</v>
      </c>
      <c r="E1689" s="11" t="s">
        <v>79</v>
      </c>
      <c r="F1689" s="11" t="str">
        <f aca="false">IFERROR(__xludf.dummyfunction("GOOGLETRANSLATE(B1689,""en"",""ar"")"),"سلة")</f>
        <v>سلة</v>
      </c>
      <c r="G1689" s="3" t="n">
        <v>0</v>
      </c>
      <c r="H1689" s="3" t="n">
        <v>0</v>
      </c>
    </row>
    <row r="1690" customFormat="false" ht="14.25" hidden="false" customHeight="true" outlineLevel="0" collapsed="false">
      <c r="A1690" s="1"/>
      <c r="B1690" s="1" t="s">
        <v>1830</v>
      </c>
      <c r="C1690" s="1" t="n">
        <v>4</v>
      </c>
      <c r="E1690" s="11" t="s">
        <v>119</v>
      </c>
      <c r="F1690" s="11" t="str">
        <f aca="false">IFERROR(__xludf.dummyfunction("GOOGLETRANSLATE(B1690,""en"",""ar"")"),"رهان")</f>
        <v>رهان</v>
      </c>
      <c r="G1690" s="3" t="n">
        <v>0</v>
      </c>
      <c r="H1690" s="3" t="n">
        <v>0</v>
      </c>
    </row>
    <row r="1691" customFormat="false" ht="14.25" hidden="false" customHeight="true" outlineLevel="0" collapsed="false">
      <c r="A1691" s="1"/>
      <c r="B1691" s="1" t="s">
        <v>1831</v>
      </c>
      <c r="C1691" s="1" t="n">
        <v>4</v>
      </c>
      <c r="E1691" s="11" t="s">
        <v>119</v>
      </c>
      <c r="F1691" s="11" t="str">
        <f aca="false">IFERROR(__xludf.dummyfunction("GOOGLETRANSLATE(B1691,""en"",""ar"")"),"نفخ")</f>
        <v>نفخ</v>
      </c>
      <c r="G1691" s="3" t="n">
        <v>0</v>
      </c>
      <c r="H1691" s="3" t="n">
        <v>0</v>
      </c>
    </row>
    <row r="1692" customFormat="false" ht="14.25" hidden="false" customHeight="true" outlineLevel="0" collapsed="false">
      <c r="A1692" s="1"/>
      <c r="B1692" s="1" t="s">
        <v>1832</v>
      </c>
      <c r="C1692" s="1" t="n">
        <v>4</v>
      </c>
      <c r="E1692" s="11" t="s">
        <v>79</v>
      </c>
      <c r="F1692" s="11" t="str">
        <f aca="false">IFERROR(__xludf.dummyfunction("GOOGLETRANSLATE(B1692,""en"",""ar"")"),"علاوة")</f>
        <v>علاوة</v>
      </c>
      <c r="G1692" s="3" t="n">
        <v>0</v>
      </c>
      <c r="H1692" s="3" t="n">
        <v>0</v>
      </c>
    </row>
    <row r="1693" customFormat="false" ht="14.25" hidden="false" customHeight="true" outlineLevel="0" collapsed="false">
      <c r="A1693" s="1"/>
      <c r="B1693" s="1" t="s">
        <v>1833</v>
      </c>
      <c r="C1693" s="1" t="n">
        <v>4</v>
      </c>
      <c r="E1693" s="11" t="s">
        <v>119</v>
      </c>
      <c r="F1693" s="11" t="str">
        <f aca="false">IFERROR(__xludf.dummyfunction("GOOGLETRANSLATE(B1693,""en"",""ar"")"),"حدود")</f>
        <v>حدود</v>
      </c>
      <c r="G1693" s="3" t="n">
        <v>0</v>
      </c>
      <c r="H1693" s="3" t="n">
        <v>0</v>
      </c>
    </row>
    <row r="1694" customFormat="false" ht="14.25" hidden="false" customHeight="true" outlineLevel="0" collapsed="false">
      <c r="A1694" s="1"/>
      <c r="B1694" s="1" t="s">
        <v>1834</v>
      </c>
      <c r="C1694" s="1" t="n">
        <v>4</v>
      </c>
      <c r="E1694" s="11" t="s">
        <v>119</v>
      </c>
      <c r="F1694" s="11" t="str">
        <f aca="false">IFERROR(__xludf.dummyfunction("GOOGLETRANSLATE(B1694,""en"",""ar"")"),"فرع")</f>
        <v>فرع</v>
      </c>
      <c r="G1694" s="3" t="n">
        <v>0</v>
      </c>
      <c r="H1694" s="3" t="n">
        <v>0</v>
      </c>
    </row>
    <row r="1695" customFormat="false" ht="14.25" hidden="false" customHeight="true" outlineLevel="0" collapsed="false">
      <c r="A1695" s="1"/>
      <c r="B1695" s="1" t="s">
        <v>1835</v>
      </c>
      <c r="C1695" s="1" t="n">
        <v>4</v>
      </c>
      <c r="E1695" s="11" t="s">
        <v>119</v>
      </c>
      <c r="F1695" s="11" t="str">
        <f aca="false">IFERROR(__xludf.dummyfunction("GOOGLETRANSLATE(B1695,""en"",""ar"")"),"صدر")</f>
        <v>صدر</v>
      </c>
      <c r="G1695" s="3" t="n">
        <v>0</v>
      </c>
      <c r="H1695" s="3" t="n">
        <v>0</v>
      </c>
    </row>
    <row r="1696" customFormat="false" ht="14.25" hidden="false" customHeight="true" outlineLevel="0" collapsed="false">
      <c r="A1696" s="1"/>
      <c r="B1696" s="1" t="s">
        <v>1836</v>
      </c>
      <c r="C1696" s="1" t="n">
        <v>4</v>
      </c>
      <c r="E1696" s="11" t="s">
        <v>1837</v>
      </c>
      <c r="F1696" s="11" t="str">
        <f aca="false">IFERROR(__xludf.dummyfunction("GOOGLETRANSLATE(B1696,""en"",""ar"")"),"شقيق")</f>
        <v>شقيق</v>
      </c>
      <c r="G1696" s="3" t="n">
        <v>0</v>
      </c>
      <c r="H1696" s="3" t="n">
        <v>0</v>
      </c>
    </row>
    <row r="1697" customFormat="false" ht="14.25" hidden="false" customHeight="true" outlineLevel="0" collapsed="false">
      <c r="A1697" s="1"/>
      <c r="B1697" s="1" t="s">
        <v>1838</v>
      </c>
      <c r="C1697" s="1" t="n">
        <v>4</v>
      </c>
      <c r="E1697" s="11" t="s">
        <v>119</v>
      </c>
      <c r="F1697" s="11" t="str">
        <f aca="false">IFERROR(__xludf.dummyfunction("GOOGLETRANSLATE(B1697,""en"",""ar"")"),"صاحب")</f>
        <v>صاحب</v>
      </c>
      <c r="G1697" s="3" t="n">
        <v>0</v>
      </c>
      <c r="H1697" s="3" t="n">
        <v>0</v>
      </c>
    </row>
    <row r="1698" customFormat="false" ht="14.25" hidden="false" customHeight="true" outlineLevel="0" collapsed="false">
      <c r="A1698" s="1"/>
      <c r="B1698" s="1" t="s">
        <v>1839</v>
      </c>
      <c r="C1698" s="1" t="n">
        <v>4</v>
      </c>
      <c r="E1698" s="11" t="s">
        <v>119</v>
      </c>
      <c r="F1698" s="11" t="str">
        <f aca="false">IFERROR(__xludf.dummyfunction("GOOGLETRANSLATE(B1698,""en"",""ar"")"),"حزمة")</f>
        <v>حزمة</v>
      </c>
      <c r="G1698" s="3" t="n">
        <v>0</v>
      </c>
      <c r="H1698" s="3" t="n">
        <v>0</v>
      </c>
    </row>
    <row r="1699" customFormat="false" ht="14.25" hidden="false" customHeight="true" outlineLevel="0" collapsed="false">
      <c r="A1699" s="1"/>
      <c r="B1699" s="1" t="s">
        <v>1840</v>
      </c>
      <c r="C1699" s="1" t="n">
        <v>4</v>
      </c>
      <c r="E1699" s="11" t="s">
        <v>79</v>
      </c>
      <c r="F1699" s="11" t="str">
        <f aca="false">IFERROR(__xludf.dummyfunction("GOOGLETRANSLATE(B1699,""en"",""ar"")"),"خزانة")</f>
        <v>خزانة</v>
      </c>
      <c r="G1699" s="3" t="n">
        <v>0</v>
      </c>
      <c r="H1699" s="3" t="n">
        <v>0</v>
      </c>
    </row>
    <row r="1700" customFormat="false" ht="14.25" hidden="false" customHeight="true" outlineLevel="0" collapsed="false">
      <c r="A1700" s="1"/>
      <c r="B1700" s="1" t="s">
        <v>1841</v>
      </c>
      <c r="C1700" s="1" t="n">
        <v>4</v>
      </c>
      <c r="E1700" s="11" t="s">
        <v>79</v>
      </c>
      <c r="F1700" s="11" t="str">
        <f aca="false">IFERROR(__xludf.dummyfunction("GOOGLETRANSLATE(B1700,""en"",""ar"")"),"مرحلة الطفولة")</f>
        <v>مرحلة الطفولة</v>
      </c>
      <c r="G1700" s="3" t="n">
        <v>0</v>
      </c>
      <c r="H1700" s="3" t="n">
        <v>0</v>
      </c>
    </row>
    <row r="1701" customFormat="false" ht="14.25" hidden="false" customHeight="true" outlineLevel="0" collapsed="false">
      <c r="A1701" s="1"/>
      <c r="B1701" s="1" t="s">
        <v>1842</v>
      </c>
      <c r="C1701" s="1" t="n">
        <v>4</v>
      </c>
      <c r="E1701" s="11" t="s">
        <v>119</v>
      </c>
      <c r="F1701" s="11" t="str">
        <f aca="false">IFERROR(__xludf.dummyfunction("GOOGLETRANSLATE(B1701,""en"",""ar"")"),"رقاقة")</f>
        <v>رقاقة</v>
      </c>
      <c r="G1701" s="3" t="n">
        <v>0</v>
      </c>
      <c r="H1701" s="3" t="n">
        <v>0</v>
      </c>
    </row>
    <row r="1702" customFormat="false" ht="14.25" hidden="false" customHeight="true" outlineLevel="0" collapsed="false">
      <c r="A1702" s="1"/>
      <c r="B1702" s="1" t="s">
        <v>1843</v>
      </c>
      <c r="C1702" s="1" t="n">
        <v>4</v>
      </c>
      <c r="E1702" s="11" t="s">
        <v>79</v>
      </c>
      <c r="F1702" s="11" t="str">
        <f aca="false">IFERROR(__xludf.dummyfunction("GOOGLETRANSLATE(B1702,""en"",""ar"")"),"كنيسة")</f>
        <v>كنيسة</v>
      </c>
      <c r="G1702" s="3" t="n">
        <v>0</v>
      </c>
      <c r="H1702" s="3" t="n">
        <v>0</v>
      </c>
    </row>
    <row r="1703" customFormat="false" ht="14.25" hidden="false" customHeight="true" outlineLevel="0" collapsed="false">
      <c r="A1703" s="1"/>
      <c r="B1703" s="1" t="s">
        <v>1844</v>
      </c>
      <c r="C1703" s="1" t="n">
        <v>4</v>
      </c>
      <c r="E1703" s="11" t="s">
        <v>112</v>
      </c>
      <c r="F1703" s="11" t="str">
        <f aca="false">IFERROR(__xludf.dummyfunction("GOOGLETRANSLATE(B1703,""en"",""ar"")"),"مدني")</f>
        <v>مدني</v>
      </c>
      <c r="G1703" s="3" t="n">
        <v>0</v>
      </c>
      <c r="H1703" s="3" t="n">
        <v>0</v>
      </c>
    </row>
    <row r="1704" customFormat="false" ht="14.25" hidden="false" customHeight="true" outlineLevel="0" collapsed="false">
      <c r="A1704" s="1"/>
      <c r="B1704" s="1" t="s">
        <v>1845</v>
      </c>
      <c r="C1704" s="1" t="n">
        <v>4</v>
      </c>
      <c r="E1704" s="11" t="s">
        <v>79</v>
      </c>
      <c r="F1704" s="11" t="str">
        <f aca="false">IFERROR(__xludf.dummyfunction("GOOGLETRANSLATE(B1704,""en"",""ar"")"),"ملابس")</f>
        <v>ملابس</v>
      </c>
      <c r="G1704" s="3" t="n">
        <v>0</v>
      </c>
      <c r="H1704" s="3" t="n">
        <v>0</v>
      </c>
    </row>
    <row r="1705" customFormat="false" ht="14.25" hidden="false" customHeight="true" outlineLevel="0" collapsed="false">
      <c r="A1705" s="1"/>
      <c r="B1705" s="1" t="s">
        <v>1846</v>
      </c>
      <c r="C1705" s="1" t="n">
        <v>4</v>
      </c>
      <c r="E1705" s="11" t="s">
        <v>239</v>
      </c>
      <c r="F1705" s="11" t="str">
        <f aca="false">IFERROR(__xludf.dummyfunction("GOOGLETRANSLATE(B1705,""en"",""ar"")"),"مدرب رياضي")</f>
        <v>مدرب رياضي</v>
      </c>
      <c r="G1705" s="3" t="n">
        <v>0</v>
      </c>
      <c r="H1705" s="3" t="n">
        <v>0</v>
      </c>
    </row>
    <row r="1706" customFormat="false" ht="14.25" hidden="false" customHeight="true" outlineLevel="0" collapsed="false">
      <c r="A1706" s="1"/>
      <c r="B1706" s="1" t="s">
        <v>1847</v>
      </c>
      <c r="C1706" s="1" t="n">
        <v>4</v>
      </c>
      <c r="E1706" s="11" t="s">
        <v>79</v>
      </c>
      <c r="F1706" s="11" t="str">
        <f aca="false">IFERROR(__xludf.dummyfunction("GOOGLETRANSLATE(B1706,""en"",""ar"")"),"قهوة")</f>
        <v>قهوة</v>
      </c>
      <c r="G1706" s="3" t="n">
        <v>0</v>
      </c>
      <c r="H1706" s="3" t="n">
        <v>0</v>
      </c>
    </row>
    <row r="1707" customFormat="false" ht="14.25" hidden="false" customHeight="true" outlineLevel="0" collapsed="false">
      <c r="A1707" s="1"/>
      <c r="B1707" s="1" t="s">
        <v>1848</v>
      </c>
      <c r="C1707" s="1" t="n">
        <v>4</v>
      </c>
      <c r="E1707" s="11" t="s">
        <v>12</v>
      </c>
      <c r="F1707" s="11" t="str">
        <f aca="false">IFERROR(__xludf.dummyfunction("GOOGLETRANSLATE(B1707,""en"",""ar"")"),"تؤكد")</f>
        <v>تؤكد</v>
      </c>
      <c r="G1707" s="3" t="n">
        <v>0</v>
      </c>
      <c r="H1707" s="3" t="n">
        <v>0</v>
      </c>
    </row>
    <row r="1708" customFormat="false" ht="14.25" hidden="false" customHeight="true" outlineLevel="0" collapsed="false">
      <c r="A1708" s="1"/>
      <c r="B1708" s="1" t="s">
        <v>1849</v>
      </c>
      <c r="C1708" s="1" t="n">
        <v>4</v>
      </c>
      <c r="E1708" s="11" t="s">
        <v>128</v>
      </c>
      <c r="F1708" s="11" t="str">
        <f aca="false">IFERROR(__xludf.dummyfunction("GOOGLETRANSLATE(B1708,""en"",""ar"")"),"تعبر")</f>
        <v>تعبر</v>
      </c>
      <c r="G1708" s="3" t="n">
        <v>0</v>
      </c>
      <c r="H1708" s="3" t="n">
        <v>0</v>
      </c>
    </row>
    <row r="1709" customFormat="false" ht="14.25" hidden="false" customHeight="true" outlineLevel="0" collapsed="false">
      <c r="A1709" s="1"/>
      <c r="B1709" s="1" t="s">
        <v>1850</v>
      </c>
      <c r="C1709" s="1" t="n">
        <v>4</v>
      </c>
      <c r="E1709" s="11" t="s">
        <v>42</v>
      </c>
      <c r="F1709" s="11" t="str">
        <f aca="false">IFERROR(__xludf.dummyfunction("GOOGLETRANSLATE(B1709,""en"",""ar"")"),"بشدة")</f>
        <v>بشدة</v>
      </c>
      <c r="G1709" s="3" t="n">
        <v>0</v>
      </c>
      <c r="H1709" s="3" t="n">
        <v>0</v>
      </c>
    </row>
    <row r="1710" customFormat="false" ht="14.25" hidden="false" customHeight="true" outlineLevel="0" collapsed="false">
      <c r="A1710" s="1"/>
      <c r="B1710" s="1" t="s">
        <v>1851</v>
      </c>
      <c r="C1710" s="1" t="n">
        <v>4</v>
      </c>
      <c r="E1710" s="11" t="s">
        <v>42</v>
      </c>
      <c r="F1710" s="11" t="str">
        <f aca="false">IFERROR(__xludf.dummyfunction("GOOGLETRANSLATE(B1710,""en"",""ar"")"),"بالتااكيد")</f>
        <v>بالتااكيد</v>
      </c>
      <c r="G1710" s="3" t="n">
        <v>0</v>
      </c>
      <c r="H1710" s="3" t="n">
        <v>0</v>
      </c>
    </row>
    <row r="1711" customFormat="false" ht="14.25" hidden="false" customHeight="true" outlineLevel="0" collapsed="false">
      <c r="A1711" s="1"/>
      <c r="B1711" s="1" t="s">
        <v>1852</v>
      </c>
      <c r="C1711" s="1" t="n">
        <v>4</v>
      </c>
      <c r="E1711" s="11" t="s">
        <v>42</v>
      </c>
      <c r="F1711" s="11" t="str">
        <f aca="false">IFERROR(__xludf.dummyfunction("GOOGLETRANSLATE(B1711,""en"",""ar"")"),"عن عمد")</f>
        <v>عن عمد</v>
      </c>
      <c r="G1711" s="3" t="n">
        <v>0</v>
      </c>
      <c r="H1711" s="3" t="n">
        <v>0</v>
      </c>
    </row>
    <row r="1712" customFormat="false" ht="14.25" hidden="false" customHeight="true" outlineLevel="0" collapsed="false">
      <c r="A1712" s="1"/>
      <c r="B1712" s="1" t="s">
        <v>1853</v>
      </c>
      <c r="C1712" s="1" t="n">
        <v>4</v>
      </c>
      <c r="E1712" s="11" t="s">
        <v>79</v>
      </c>
      <c r="F1712" s="11" t="str">
        <f aca="false">IFERROR(__xludf.dummyfunction("GOOGLETRANSLATE(B1712,""en"",""ar"")"),"عشاء")</f>
        <v>عشاء</v>
      </c>
      <c r="G1712" s="3" t="n">
        <v>0</v>
      </c>
      <c r="H1712" s="3" t="n">
        <v>0</v>
      </c>
    </row>
    <row r="1713" customFormat="false" ht="14.25" hidden="false" customHeight="true" outlineLevel="0" collapsed="false">
      <c r="A1713" s="1"/>
      <c r="B1713" s="1" t="s">
        <v>1854</v>
      </c>
      <c r="C1713" s="1" t="n">
        <v>4</v>
      </c>
      <c r="E1713" s="11" t="s">
        <v>119</v>
      </c>
      <c r="F1713" s="11" t="str">
        <f aca="false">IFERROR(__xludf.dummyfunction("GOOGLETRANSLATE(B1713,""en"",""ar"")"),"وثيقة")</f>
        <v>وثيقة</v>
      </c>
      <c r="G1713" s="3" t="n">
        <v>0</v>
      </c>
      <c r="H1713" s="3" t="n">
        <v>0</v>
      </c>
    </row>
    <row r="1714" customFormat="false" ht="14.25" hidden="false" customHeight="true" outlineLevel="0" collapsed="false">
      <c r="A1714" s="1"/>
      <c r="B1714" s="1" t="s">
        <v>1855</v>
      </c>
      <c r="C1714" s="1" t="n">
        <v>4</v>
      </c>
      <c r="E1714" s="11" t="s">
        <v>128</v>
      </c>
      <c r="F1714" s="11" t="str">
        <f aca="false">IFERROR(__xludf.dummyfunction("GOOGLETRANSLATE(B1714,""en"",""ar"")"),"مسودة")</f>
        <v>مسودة</v>
      </c>
      <c r="G1714" s="3" t="n">
        <v>0</v>
      </c>
      <c r="H1714" s="3" t="n">
        <v>0</v>
      </c>
    </row>
    <row r="1715" customFormat="false" ht="14.25" hidden="false" customHeight="true" outlineLevel="0" collapsed="false">
      <c r="A1715" s="1"/>
      <c r="B1715" s="1" t="s">
        <v>1856</v>
      </c>
      <c r="C1715" s="1" t="n">
        <v>4</v>
      </c>
      <c r="E1715" s="11" t="s">
        <v>79</v>
      </c>
      <c r="F1715" s="11" t="str">
        <f aca="false">IFERROR(__xludf.dummyfunction("GOOGLETRANSLATE(B1715,""en"",""ar"")"),"رسم")</f>
        <v>رسم</v>
      </c>
      <c r="G1715" s="3" t="n">
        <v>0</v>
      </c>
      <c r="H1715" s="3" t="n">
        <v>0</v>
      </c>
    </row>
    <row r="1716" customFormat="false" ht="14.25" hidden="false" customHeight="true" outlineLevel="0" collapsed="false">
      <c r="A1716" s="1"/>
      <c r="B1716" s="1" t="s">
        <v>1857</v>
      </c>
      <c r="C1716" s="1" t="n">
        <v>4</v>
      </c>
      <c r="E1716" s="11" t="s">
        <v>119</v>
      </c>
      <c r="F1716" s="11" t="str">
        <f aca="false">IFERROR(__xludf.dummyfunction("GOOGLETRANSLATE(B1716,""en"",""ar"")"),"غبار")</f>
        <v>غبار</v>
      </c>
      <c r="G1716" s="3" t="n">
        <v>0</v>
      </c>
      <c r="H1716" s="3" t="n">
        <v>0</v>
      </c>
    </row>
    <row r="1717" customFormat="false" ht="14.25" hidden="false" customHeight="true" outlineLevel="0" collapsed="false">
      <c r="A1717" s="1"/>
      <c r="B1717" s="1" t="s">
        <v>1858</v>
      </c>
      <c r="C1717" s="1" t="n">
        <v>4</v>
      </c>
      <c r="E1717" s="11" t="s">
        <v>94</v>
      </c>
      <c r="F1717" s="11" t="str">
        <f aca="false">IFERROR(__xludf.dummyfunction("GOOGLETRANSLATE(B1717,""en"",""ar"")"),"توظيف")</f>
        <v>توظيف</v>
      </c>
      <c r="G1717" s="3" t="n">
        <v>0</v>
      </c>
      <c r="H1717" s="3" t="n">
        <v>0</v>
      </c>
    </row>
    <row r="1718" customFormat="false" ht="14.25" hidden="false" customHeight="true" outlineLevel="0" collapsed="false">
      <c r="A1718" s="1"/>
      <c r="B1718" s="1" t="s">
        <v>1859</v>
      </c>
      <c r="C1718" s="1" t="n">
        <v>4</v>
      </c>
      <c r="E1718" s="11" t="s">
        <v>12</v>
      </c>
      <c r="F1718" s="11" t="str">
        <f aca="false">IFERROR(__xludf.dummyfunction("GOOGLETRANSLATE(B1718,""en"",""ar"")"),"تشجيع")</f>
        <v>تشجيع</v>
      </c>
      <c r="G1718" s="3" t="n">
        <v>0</v>
      </c>
      <c r="H1718" s="3" t="n">
        <v>0</v>
      </c>
    </row>
    <row r="1719" customFormat="false" ht="14.25" hidden="false" customHeight="true" outlineLevel="0" collapsed="false">
      <c r="A1719" s="1"/>
      <c r="B1719" s="1" t="s">
        <v>1860</v>
      </c>
      <c r="C1719" s="1" t="n">
        <v>4</v>
      </c>
      <c r="E1719" s="11" t="s">
        <v>148</v>
      </c>
      <c r="F1719" s="11" t="str">
        <f aca="false">IFERROR(__xludf.dummyfunction("GOOGLETRANSLATE(B1719,""en"",""ar"")"),"خبير")</f>
        <v>خبير</v>
      </c>
      <c r="G1719" s="3" t="n">
        <v>0</v>
      </c>
      <c r="H1719" s="3" t="n">
        <v>0</v>
      </c>
    </row>
    <row r="1720" customFormat="false" ht="14.25" hidden="false" customHeight="true" outlineLevel="0" collapsed="false">
      <c r="A1720" s="1"/>
      <c r="B1720" s="1" t="s">
        <v>1861</v>
      </c>
      <c r="C1720" s="1" t="n">
        <v>4</v>
      </c>
      <c r="E1720" s="11" t="s">
        <v>235</v>
      </c>
      <c r="F1720" s="11" t="str">
        <f aca="false">IFERROR(__xludf.dummyfunction("GOOGLETRANSLATE(B1720,""en"",""ar"")"),"خارجي")</f>
        <v>خارجي</v>
      </c>
      <c r="G1720" s="3" t="n">
        <v>0</v>
      </c>
      <c r="H1720" s="3" t="n">
        <v>0</v>
      </c>
    </row>
    <row r="1721" customFormat="false" ht="14.25" hidden="false" customHeight="true" outlineLevel="0" collapsed="false">
      <c r="A1721" s="1"/>
      <c r="B1721" s="1" t="s">
        <v>1862</v>
      </c>
      <c r="C1721" s="1" t="n">
        <v>4</v>
      </c>
      <c r="E1721" s="11" t="s">
        <v>119</v>
      </c>
      <c r="F1721" s="11" t="str">
        <f aca="false">IFERROR(__xludf.dummyfunction("GOOGLETRANSLATE(B1721,""en"",""ar"")"),"الأرض")</f>
        <v>الأرض</v>
      </c>
      <c r="G1721" s="3" t="n">
        <v>0</v>
      </c>
      <c r="H1721" s="3" t="n">
        <v>0</v>
      </c>
    </row>
    <row r="1722" customFormat="false" ht="14.25" hidden="false" customHeight="true" outlineLevel="0" collapsed="false">
      <c r="A1722" s="1"/>
      <c r="B1722" s="1" t="s">
        <v>1863</v>
      </c>
      <c r="C1722" s="1" t="n">
        <v>4</v>
      </c>
      <c r="E1722" s="11" t="s">
        <v>112</v>
      </c>
      <c r="F1722" s="11" t="str">
        <f aca="false">IFERROR(__xludf.dummyfunction("GOOGLETRANSLATE(B1722,""en"",""ar"")"),"سابق")</f>
        <v>سابق</v>
      </c>
      <c r="G1722" s="3" t="n">
        <v>0</v>
      </c>
      <c r="H1722" s="3" t="n">
        <v>0</v>
      </c>
    </row>
    <row r="1723" customFormat="false" ht="14.25" hidden="false" customHeight="true" outlineLevel="0" collapsed="false">
      <c r="A1723" s="1"/>
      <c r="B1723" s="1" t="s">
        <v>1864</v>
      </c>
      <c r="C1723" s="1" t="n">
        <v>4</v>
      </c>
      <c r="E1723" s="11" t="s">
        <v>1837</v>
      </c>
      <c r="F1723" s="11" t="str">
        <f aca="false">IFERROR(__xludf.dummyfunction("GOOGLETRANSLATE(B1723,""en"",""ar"")"),"الله")</f>
        <v>الله</v>
      </c>
      <c r="G1723" s="3" t="n">
        <v>0</v>
      </c>
      <c r="H1723" s="3" t="n">
        <v>0</v>
      </c>
    </row>
    <row r="1724" customFormat="false" ht="14.25" hidden="false" customHeight="true" outlineLevel="0" collapsed="false">
      <c r="A1724" s="1"/>
      <c r="B1724" s="1" t="s">
        <v>1865</v>
      </c>
      <c r="C1724" s="1" t="n">
        <v>4</v>
      </c>
      <c r="E1724" s="11" t="s">
        <v>119</v>
      </c>
      <c r="F1724" s="11" t="str">
        <f aca="false">IFERROR(__xludf.dummyfunction("GOOGLETRANSLATE(B1724,""en"",""ar"")"),"جولف")</f>
        <v>جولف</v>
      </c>
      <c r="G1724" s="3" t="n">
        <v>0</v>
      </c>
      <c r="H1724" s="3" t="n">
        <v>0</v>
      </c>
    </row>
    <row r="1725" customFormat="false" ht="14.25" hidden="false" customHeight="true" outlineLevel="0" collapsed="false">
      <c r="A1725" s="1"/>
      <c r="B1725" s="1" t="s">
        <v>1866</v>
      </c>
      <c r="C1725" s="1" t="n">
        <v>4</v>
      </c>
      <c r="E1725" s="11" t="s">
        <v>119</v>
      </c>
      <c r="F1725" s="11" t="str">
        <f aca="false">IFERROR(__xludf.dummyfunction("GOOGLETRANSLATE(B1725,""en"",""ar"")"),"عادة")</f>
        <v>عادة</v>
      </c>
      <c r="G1725" s="3" t="n">
        <v>0</v>
      </c>
      <c r="H1725" s="3" t="n">
        <v>0</v>
      </c>
    </row>
    <row r="1726" customFormat="false" ht="14.25" hidden="false" customHeight="true" outlineLevel="0" collapsed="false">
      <c r="A1726" s="1"/>
      <c r="B1726" s="1" t="s">
        <v>1867</v>
      </c>
      <c r="C1726" s="1" t="n">
        <v>4</v>
      </c>
      <c r="E1726" s="11" t="s">
        <v>79</v>
      </c>
      <c r="F1726" s="11" t="str">
        <f aca="false">IFERROR(__xludf.dummyfunction("GOOGLETRANSLATE(B1726,""en"",""ar"")"),"شعر")</f>
        <v>شعر</v>
      </c>
      <c r="G1726" s="3" t="n">
        <v>0</v>
      </c>
      <c r="H1726" s="3" t="n">
        <v>0</v>
      </c>
    </row>
    <row r="1727" customFormat="false" ht="14.25" hidden="false" customHeight="true" outlineLevel="0" collapsed="false">
      <c r="A1727" s="1"/>
      <c r="B1727" s="1" t="s">
        <v>1868</v>
      </c>
      <c r="C1727" s="1" t="n">
        <v>4</v>
      </c>
      <c r="E1727" s="11" t="s">
        <v>42</v>
      </c>
      <c r="F1727" s="11" t="str">
        <f aca="false">IFERROR(__xludf.dummyfunction("GOOGLETRANSLATE(B1727,""en"",""ar"")"),"بالكاد")</f>
        <v>بالكاد</v>
      </c>
      <c r="G1727" s="3" t="n">
        <v>0</v>
      </c>
      <c r="H1727" s="3" t="n">
        <v>0</v>
      </c>
    </row>
    <row r="1728" customFormat="false" ht="14.25" hidden="false" customHeight="true" outlineLevel="0" collapsed="false">
      <c r="A1728" s="1"/>
      <c r="B1728" s="1" t="s">
        <v>1869</v>
      </c>
      <c r="C1728" s="1" t="n">
        <v>4</v>
      </c>
      <c r="E1728" s="11" t="s">
        <v>79</v>
      </c>
      <c r="F1728" s="11" t="str">
        <f aca="false">IFERROR(__xludf.dummyfunction("GOOGLETRANSLATE(B1728,""en"",""ar"")"),"سمع")</f>
        <v>سمع</v>
      </c>
      <c r="G1728" s="3" t="n">
        <v>0</v>
      </c>
      <c r="H1728" s="3" t="n">
        <v>0</v>
      </c>
    </row>
    <row r="1729" customFormat="false" ht="14.25" hidden="false" customHeight="true" outlineLevel="0" collapsed="false">
      <c r="A1729" s="1"/>
      <c r="B1729" s="1" t="s">
        <v>1870</v>
      </c>
      <c r="C1729" s="1" t="n">
        <v>4</v>
      </c>
      <c r="E1729" s="11" t="s">
        <v>94</v>
      </c>
      <c r="F1729" s="11" t="str">
        <f aca="false">IFERROR(__xludf.dummyfunction("GOOGLETRANSLATE(B1729,""en"",""ar"")"),"يؤذي")</f>
        <v>يؤذي</v>
      </c>
      <c r="G1729" s="3" t="n">
        <v>0</v>
      </c>
      <c r="H1729" s="3" t="n">
        <v>0</v>
      </c>
    </row>
    <row r="1730" customFormat="false" ht="14.25" hidden="false" customHeight="true" outlineLevel="0" collapsed="false">
      <c r="A1730" s="1"/>
      <c r="B1730" s="1" t="s">
        <v>1871</v>
      </c>
      <c r="C1730" s="1" t="n">
        <v>4</v>
      </c>
      <c r="E1730" s="11" t="s">
        <v>235</v>
      </c>
      <c r="F1730" s="11" t="str">
        <f aca="false">IFERROR(__xludf.dummyfunction("GOOGLETRANSLATE(B1730,""en"",""ar"")"),"غير شرعي")</f>
        <v>غير شرعي</v>
      </c>
      <c r="G1730" s="3" t="n">
        <v>0</v>
      </c>
      <c r="H1730" s="3" t="n">
        <v>0</v>
      </c>
    </row>
    <row r="1731" customFormat="false" ht="14.25" hidden="false" customHeight="true" outlineLevel="0" collapsed="false">
      <c r="A1731" s="1"/>
      <c r="B1731" s="1" t="s">
        <v>1872</v>
      </c>
      <c r="C1731" s="1" t="n">
        <v>4</v>
      </c>
      <c r="E1731" s="11" t="s">
        <v>12</v>
      </c>
      <c r="F1731" s="11" t="str">
        <f aca="false">IFERROR(__xludf.dummyfunction("GOOGLETRANSLATE(B1731,""en"",""ar"")"),"أدخل")</f>
        <v>أدخل</v>
      </c>
      <c r="G1731" s="3" t="n">
        <v>0</v>
      </c>
      <c r="H1731" s="3" t="n">
        <v>0</v>
      </c>
    </row>
    <row r="1732" customFormat="false" ht="14.25" hidden="false" customHeight="true" outlineLevel="0" collapsed="false">
      <c r="A1732" s="1"/>
      <c r="B1732" s="1" t="s">
        <v>1873</v>
      </c>
      <c r="C1732" s="1" t="n">
        <v>4</v>
      </c>
      <c r="E1732" s="11" t="s">
        <v>79</v>
      </c>
      <c r="F1732" s="11" t="str">
        <f aca="false">IFERROR(__xludf.dummyfunction("GOOGLETRANSLATE(B1732,""en"",""ar"")"),"مبادر")</f>
        <v>مبادر</v>
      </c>
      <c r="G1732" s="3" t="n">
        <v>0</v>
      </c>
      <c r="H1732" s="3" t="n">
        <v>0</v>
      </c>
    </row>
    <row r="1733" customFormat="false" ht="14.25" hidden="false" customHeight="true" outlineLevel="0" collapsed="false">
      <c r="A1733" s="1"/>
      <c r="B1733" s="1" t="s">
        <v>1874</v>
      </c>
      <c r="C1733" s="1" t="n">
        <v>4</v>
      </c>
      <c r="E1733" s="11" t="s">
        <v>119</v>
      </c>
      <c r="F1733" s="11" t="str">
        <f aca="false">IFERROR(__xludf.dummyfunction("GOOGLETRANSLATE(B1733,""en"",""ar"")"),"حديد")</f>
        <v>حديد</v>
      </c>
      <c r="G1733" s="3" t="n">
        <v>0</v>
      </c>
      <c r="H1733" s="3" t="n">
        <v>0</v>
      </c>
    </row>
    <row r="1734" customFormat="false" ht="14.25" hidden="false" customHeight="true" outlineLevel="0" collapsed="false">
      <c r="A1734" s="1"/>
      <c r="B1734" s="1" t="s">
        <v>1875</v>
      </c>
      <c r="C1734" s="1" t="n">
        <v>4</v>
      </c>
      <c r="E1734" s="11" t="s">
        <v>119</v>
      </c>
      <c r="F1734" s="11" t="str">
        <f aca="false">IFERROR(__xludf.dummyfunction("GOOGLETRANSLATE(B1734,""en"",""ar"")"),"القاضي")</f>
        <v>القاضي</v>
      </c>
      <c r="G1734" s="3" t="n">
        <v>0</v>
      </c>
      <c r="H1734" s="3" t="n">
        <v>0</v>
      </c>
    </row>
    <row r="1735" customFormat="false" ht="14.25" hidden="false" customHeight="true" outlineLevel="0" collapsed="false">
      <c r="A1735" s="1"/>
      <c r="B1735" s="1" t="s">
        <v>1876</v>
      </c>
      <c r="C1735" s="1" t="n">
        <v>4</v>
      </c>
      <c r="E1735" s="11" t="s">
        <v>79</v>
      </c>
      <c r="F1735" s="11" t="str">
        <f aca="false">IFERROR(__xludf.dummyfunction("GOOGLETRANSLATE(B1735,""en"",""ar"")"),"حكم")</f>
        <v>حكم</v>
      </c>
      <c r="G1735" s="3" t="n">
        <v>0</v>
      </c>
      <c r="H1735" s="3" t="n">
        <v>0</v>
      </c>
    </row>
    <row r="1736" customFormat="false" ht="14.25" hidden="false" customHeight="true" outlineLevel="0" collapsed="false">
      <c r="A1736" s="1"/>
      <c r="B1736" s="1" t="s">
        <v>1877</v>
      </c>
      <c r="C1736" s="1" t="n">
        <v>4</v>
      </c>
      <c r="E1736" s="11" t="s">
        <v>12</v>
      </c>
      <c r="F1736" s="11" t="str">
        <f aca="false">IFERROR(__xludf.dummyfunction("GOOGLETRANSLATE(B1736,""en"",""ar"")"),"يبرر")</f>
        <v>يبرر</v>
      </c>
      <c r="G1736" s="3" t="n">
        <v>0</v>
      </c>
      <c r="H1736" s="3" t="n">
        <v>0</v>
      </c>
    </row>
    <row r="1737" customFormat="false" ht="14.25" hidden="false" customHeight="true" outlineLevel="0" collapsed="false">
      <c r="A1737" s="1"/>
      <c r="B1737" s="1" t="s">
        <v>1878</v>
      </c>
      <c r="C1737" s="1" t="n">
        <v>4</v>
      </c>
      <c r="E1737" s="11" t="s">
        <v>119</v>
      </c>
      <c r="F1737" s="11" t="str">
        <f aca="false">IFERROR(__xludf.dummyfunction("GOOGLETRANSLATE(B1737,""en"",""ar"")"),"سكين")</f>
        <v>سكين</v>
      </c>
      <c r="G1737" s="3" t="n">
        <v>0</v>
      </c>
      <c r="H1737" s="3" t="n">
        <v>0</v>
      </c>
    </row>
    <row r="1738" customFormat="false" ht="14.25" hidden="false" customHeight="true" outlineLevel="0" collapsed="false">
      <c r="A1738" s="1"/>
      <c r="B1738" s="1" t="s">
        <v>1879</v>
      </c>
      <c r="C1738" s="1" t="n">
        <v>4</v>
      </c>
      <c r="E1738" s="11" t="s">
        <v>79</v>
      </c>
      <c r="F1738" s="11" t="str">
        <f aca="false">IFERROR(__xludf.dummyfunction("GOOGLETRANSLATE(B1738,""en"",""ar"")"),"مختبر")</f>
        <v>مختبر</v>
      </c>
      <c r="G1738" s="3" t="n">
        <v>0</v>
      </c>
      <c r="H1738" s="3" t="n">
        <v>0</v>
      </c>
    </row>
    <row r="1739" customFormat="false" ht="14.25" hidden="false" customHeight="true" outlineLevel="0" collapsed="false">
      <c r="A1739" s="1"/>
      <c r="B1739" s="1" t="s">
        <v>1880</v>
      </c>
      <c r="C1739" s="1" t="n">
        <v>4</v>
      </c>
      <c r="E1739" s="11" t="s">
        <v>119</v>
      </c>
      <c r="F1739" s="11" t="str">
        <f aca="false">IFERROR(__xludf.dummyfunction("GOOGLETRANSLATE(B1739,""en"",""ar"")"),"المناظر الطبيعيه")</f>
        <v>المناظر الطبيعيه</v>
      </c>
      <c r="G1739" s="3" t="n">
        <v>0</v>
      </c>
      <c r="H1739" s="3" t="n">
        <v>0</v>
      </c>
    </row>
    <row r="1740" customFormat="false" ht="14.25" hidden="false" customHeight="true" outlineLevel="0" collapsed="false">
      <c r="A1740" s="1"/>
      <c r="B1740" s="1" t="s">
        <v>1881</v>
      </c>
      <c r="C1740" s="1" t="n">
        <v>4</v>
      </c>
      <c r="E1740" s="11" t="s">
        <v>94</v>
      </c>
      <c r="F1740" s="11" t="str">
        <f aca="false">IFERROR(__xludf.dummyfunction("GOOGLETRANSLATE(B1740,""en"",""ar"")"),"يضحك")</f>
        <v>يضحك</v>
      </c>
      <c r="G1740" s="3" t="n">
        <v>0</v>
      </c>
      <c r="H1740" s="3" t="n">
        <v>0</v>
      </c>
    </row>
    <row r="1741" customFormat="false" ht="14.25" hidden="false" customHeight="true" outlineLevel="0" collapsed="false">
      <c r="A1741" s="1"/>
      <c r="B1741" s="1" t="s">
        <v>1882</v>
      </c>
      <c r="C1741" s="1" t="n">
        <v>4</v>
      </c>
      <c r="E1741" s="11" t="s">
        <v>324</v>
      </c>
      <c r="F1741" s="11" t="str">
        <f aca="false">IFERROR(__xludf.dummyfunction("GOOGLETRANSLATE(B1741,""en"",""ar"")"),"بسط")</f>
        <v>بسط</v>
      </c>
      <c r="G1741" s="3" t="n">
        <v>0</v>
      </c>
      <c r="H1741" s="3" t="n">
        <v>0</v>
      </c>
    </row>
    <row r="1742" customFormat="false" ht="14.25" hidden="false" customHeight="true" outlineLevel="0" collapsed="false">
      <c r="A1742" s="1"/>
      <c r="B1742" s="1" t="s">
        <v>1883</v>
      </c>
      <c r="C1742" s="1" t="n">
        <v>4</v>
      </c>
      <c r="E1742" s="11" t="s">
        <v>119</v>
      </c>
      <c r="F1742" s="11" t="str">
        <f aca="false">IFERROR(__xludf.dummyfunction("GOOGLETRANSLATE(B1742,""en"",""ar"")"),"الدوري")</f>
        <v>الدوري</v>
      </c>
      <c r="G1742" s="3" t="n">
        <v>0</v>
      </c>
      <c r="H1742" s="3" t="n">
        <v>0</v>
      </c>
    </row>
    <row r="1743" customFormat="false" ht="14.25" hidden="false" customHeight="true" outlineLevel="0" collapsed="false">
      <c r="A1743" s="1"/>
      <c r="B1743" s="1" t="s">
        <v>1884</v>
      </c>
      <c r="C1743" s="1" t="n">
        <v>4</v>
      </c>
      <c r="E1743" s="11" t="s">
        <v>50</v>
      </c>
      <c r="F1743" s="11" t="str">
        <f aca="false">IFERROR(__xludf.dummyfunction("GOOGLETRANSLATE(B1743,""en"",""ar"")"),"بصوت عال")</f>
        <v>بصوت عال</v>
      </c>
      <c r="G1743" s="3" t="n">
        <v>0</v>
      </c>
      <c r="H1743" s="3" t="n">
        <v>0</v>
      </c>
    </row>
    <row r="1744" customFormat="false" ht="14.25" hidden="false" customHeight="true" outlineLevel="0" collapsed="false">
      <c r="A1744" s="1"/>
      <c r="B1744" s="1" t="s">
        <v>1885</v>
      </c>
      <c r="C1744" s="1" t="n">
        <v>4</v>
      </c>
      <c r="E1744" s="11" t="s">
        <v>119</v>
      </c>
      <c r="F1744" s="11" t="str">
        <f aca="false">IFERROR(__xludf.dummyfunction("GOOGLETRANSLATE(B1744,""en"",""ar"")"),"بريد")</f>
        <v>بريد</v>
      </c>
      <c r="G1744" s="3" t="n">
        <v>0</v>
      </c>
      <c r="H1744" s="3" t="n">
        <v>0</v>
      </c>
    </row>
    <row r="1745" customFormat="false" ht="14.25" hidden="false" customHeight="true" outlineLevel="0" collapsed="false">
      <c r="A1745" s="1"/>
      <c r="B1745" s="1" t="s">
        <v>1886</v>
      </c>
      <c r="C1745" s="1" t="n">
        <v>4</v>
      </c>
      <c r="E1745" s="11" t="s">
        <v>112</v>
      </c>
      <c r="F1745" s="11" t="str">
        <f aca="false">IFERROR(__xludf.dummyfunction("GOOGLETRANSLATE(B1745,""en"",""ar"")"),"جسيم")</f>
        <v>جسيم</v>
      </c>
      <c r="G1745" s="3" t="n">
        <v>0</v>
      </c>
      <c r="H1745" s="3" t="n">
        <v>0</v>
      </c>
    </row>
    <row r="1746" customFormat="false" ht="14.25" hidden="false" customHeight="true" outlineLevel="0" collapsed="false">
      <c r="A1746" s="1"/>
      <c r="B1746" s="1" t="s">
        <v>1887</v>
      </c>
      <c r="C1746" s="1" t="n">
        <v>4</v>
      </c>
      <c r="E1746" s="11" t="s">
        <v>79</v>
      </c>
      <c r="F1746" s="11" t="str">
        <f aca="false">IFERROR(__xludf.dummyfunction("GOOGLETRANSLATE(B1746,""en"",""ar"")"),"قياس")</f>
        <v>قياس</v>
      </c>
      <c r="G1746" s="3" t="n">
        <v>0</v>
      </c>
      <c r="H1746" s="3" t="n">
        <v>0</v>
      </c>
    </row>
    <row r="1747" customFormat="false" ht="14.25" hidden="false" customHeight="true" outlineLevel="0" collapsed="false">
      <c r="A1747" s="1"/>
      <c r="B1747" s="1" t="s">
        <v>1888</v>
      </c>
      <c r="C1747" s="1" t="n">
        <v>4</v>
      </c>
      <c r="E1747" s="11" t="s">
        <v>119</v>
      </c>
      <c r="F1747" s="11" t="str">
        <f aca="false">IFERROR(__xludf.dummyfunction("GOOGLETRANSLATE(B1747,""en"",""ar"")"),"تعبث")</f>
        <v>تعبث</v>
      </c>
      <c r="G1747" s="3" t="n">
        <v>0</v>
      </c>
      <c r="H1747" s="3" t="n">
        <v>0</v>
      </c>
    </row>
    <row r="1748" customFormat="false" ht="14.25" hidden="false" customHeight="true" outlineLevel="0" collapsed="false">
      <c r="A1748" s="1"/>
      <c r="B1748" s="1" t="s">
        <v>1889</v>
      </c>
      <c r="C1748" s="1" t="n">
        <v>4</v>
      </c>
      <c r="E1748" s="11" t="s">
        <v>235</v>
      </c>
      <c r="F1748" s="11" t="str">
        <f aca="false">IFERROR(__xludf.dummyfunction("GOOGLETRANSLATE(B1748,""en"",""ar"")"),"التليفون المحمول")</f>
        <v>التليفون المحمول</v>
      </c>
      <c r="G1748" s="3" t="n">
        <v>0</v>
      </c>
      <c r="H1748" s="3" t="n">
        <v>0</v>
      </c>
    </row>
    <row r="1749" customFormat="false" ht="14.25" hidden="false" customHeight="true" outlineLevel="0" collapsed="false">
      <c r="A1749" s="1"/>
      <c r="B1749" s="1" t="s">
        <v>1890</v>
      </c>
      <c r="C1749" s="1" t="n">
        <v>4</v>
      </c>
      <c r="E1749" s="11" t="s">
        <v>79</v>
      </c>
      <c r="F1749" s="11" t="str">
        <f aca="false">IFERROR(__xludf.dummyfunction("GOOGLETRANSLATE(B1749,""en"",""ar"")"),"الوضع")</f>
        <v>الوضع</v>
      </c>
      <c r="G1749" s="3" t="n">
        <v>0</v>
      </c>
      <c r="H1749" s="3" t="n">
        <v>0</v>
      </c>
    </row>
    <row r="1750" customFormat="false" ht="14.25" hidden="false" customHeight="true" outlineLevel="0" collapsed="false">
      <c r="A1750" s="1"/>
      <c r="B1750" s="1" t="s">
        <v>1891</v>
      </c>
      <c r="C1750" s="1" t="n">
        <v>4</v>
      </c>
      <c r="E1750" s="11" t="s">
        <v>79</v>
      </c>
      <c r="F1750" s="11" t="str">
        <f aca="false">IFERROR(__xludf.dummyfunction("GOOGLETRANSLATE(B1750,""en"",""ar"")"),"طين")</f>
        <v>طين</v>
      </c>
      <c r="G1750" s="3" t="n">
        <v>0</v>
      </c>
      <c r="H1750" s="3" t="n">
        <v>0</v>
      </c>
    </row>
    <row r="1751" customFormat="false" ht="14.25" hidden="false" customHeight="true" outlineLevel="0" collapsed="false">
      <c r="A1751" s="1"/>
      <c r="B1751" s="1" t="s">
        <v>1892</v>
      </c>
      <c r="C1751" s="1" t="n">
        <v>4</v>
      </c>
      <c r="E1751" s="11" t="s">
        <v>235</v>
      </c>
      <c r="F1751" s="11" t="str">
        <f aca="false">IFERROR(__xludf.dummyfunction("GOOGLETRANSLATE(B1751,""en"",""ar"")"),"مقرف")</f>
        <v>مقرف</v>
      </c>
      <c r="G1751" s="3" t="n">
        <v>0</v>
      </c>
      <c r="H1751" s="3" t="n">
        <v>0</v>
      </c>
    </row>
    <row r="1752" customFormat="false" ht="14.25" hidden="false" customHeight="true" outlineLevel="0" collapsed="false">
      <c r="A1752" s="1"/>
      <c r="B1752" s="1" t="s">
        <v>1893</v>
      </c>
      <c r="C1752" s="1" t="n">
        <v>4</v>
      </c>
      <c r="E1752" s="11" t="s">
        <v>148</v>
      </c>
      <c r="F1752" s="11" t="str">
        <f aca="false">IFERROR(__xludf.dummyfunction("GOOGLETRANSLATE(B1752,""en"",""ar"")"),"محلي")</f>
        <v>محلي</v>
      </c>
      <c r="G1752" s="3" t="n">
        <v>0</v>
      </c>
      <c r="H1752" s="3" t="n">
        <v>0</v>
      </c>
    </row>
    <row r="1753" customFormat="false" ht="14.25" hidden="false" customHeight="true" outlineLevel="0" collapsed="false">
      <c r="A1753" s="1"/>
      <c r="B1753" s="1" t="s">
        <v>1894</v>
      </c>
      <c r="C1753" s="1" t="n">
        <v>4</v>
      </c>
      <c r="E1753" s="11" t="s">
        <v>148</v>
      </c>
      <c r="F1753" s="11" t="str">
        <f aca="false">IFERROR(__xludf.dummyfunction("GOOGLETRANSLATE(B1753,""en"",""ar"")"),"افتتاح")</f>
        <v>افتتاح</v>
      </c>
      <c r="G1753" s="3" t="n">
        <v>0</v>
      </c>
      <c r="H1753" s="3" t="n">
        <v>0</v>
      </c>
    </row>
    <row r="1754" customFormat="false" ht="14.25" hidden="false" customHeight="true" outlineLevel="0" collapsed="false">
      <c r="A1754" s="1"/>
      <c r="B1754" s="1" t="s">
        <v>1895</v>
      </c>
      <c r="C1754" s="1" t="n">
        <v>4</v>
      </c>
      <c r="E1754" s="11" t="s">
        <v>79</v>
      </c>
      <c r="F1754" s="11" t="str">
        <f aca="false">IFERROR(__xludf.dummyfunction("GOOGLETRANSLATE(B1754,""en"",""ar"")"),"البرتقالي")</f>
        <v>البرتقالي</v>
      </c>
      <c r="G1754" s="3" t="n">
        <v>0</v>
      </c>
      <c r="H1754" s="3" t="n">
        <v>0</v>
      </c>
    </row>
    <row r="1755" customFormat="false" ht="14.25" hidden="false" customHeight="true" outlineLevel="0" collapsed="false">
      <c r="A1755" s="1"/>
      <c r="B1755" s="1" t="s">
        <v>1896</v>
      </c>
      <c r="C1755" s="1" t="n">
        <v>4</v>
      </c>
      <c r="E1755" s="11" t="s">
        <v>235</v>
      </c>
      <c r="F1755" s="11" t="str">
        <f aca="false">IFERROR(__xludf.dummyfunction("GOOGLETRANSLATE(B1755,""en"",""ar"")"),"عادي")</f>
        <v>عادي</v>
      </c>
      <c r="G1755" s="3" t="n">
        <v>0</v>
      </c>
      <c r="H1755" s="3" t="n">
        <v>0</v>
      </c>
    </row>
    <row r="1756" customFormat="false" ht="14.25" hidden="false" customHeight="true" outlineLevel="0" collapsed="false">
      <c r="A1756" s="1"/>
      <c r="B1756" s="1" t="s">
        <v>1897</v>
      </c>
      <c r="C1756" s="1" t="n">
        <v>4</v>
      </c>
      <c r="E1756" s="11" t="s">
        <v>12</v>
      </c>
      <c r="F1756" s="11" t="str">
        <f aca="false">IFERROR(__xludf.dummyfunction("GOOGLETRANSLATE(B1756,""en"",""ar"")"),"تنظم")</f>
        <v>تنظم</v>
      </c>
      <c r="G1756" s="3" t="n">
        <v>0</v>
      </c>
      <c r="H1756" s="3" t="n">
        <v>0</v>
      </c>
    </row>
    <row r="1757" customFormat="false" ht="14.25" hidden="false" customHeight="true" outlineLevel="0" collapsed="false">
      <c r="A1757" s="1"/>
      <c r="B1757" s="1" t="s">
        <v>1898</v>
      </c>
      <c r="C1757" s="1" t="n">
        <v>4</v>
      </c>
      <c r="E1757" s="11" t="s">
        <v>12</v>
      </c>
      <c r="F1757" s="11" t="str">
        <f aca="false">IFERROR(__xludf.dummyfunction("GOOGLETRANSLATE(B1757,""en"",""ar"")"),"ينبغي")</f>
        <v>ينبغي</v>
      </c>
      <c r="G1757" s="3" t="n">
        <v>0</v>
      </c>
      <c r="H1757" s="3" t="n">
        <v>0</v>
      </c>
    </row>
    <row r="1758" customFormat="false" ht="14.25" hidden="false" customHeight="true" outlineLevel="0" collapsed="false">
      <c r="A1758" s="1"/>
      <c r="B1758" s="1" t="s">
        <v>1899</v>
      </c>
      <c r="C1758" s="1" t="n">
        <v>4</v>
      </c>
      <c r="E1758" s="11" t="s">
        <v>119</v>
      </c>
      <c r="F1758" s="11" t="str">
        <f aca="false">IFERROR(__xludf.dummyfunction("GOOGLETRANSLATE(B1758,""en"",""ar"")"),"الأبوين")</f>
        <v>الأبوين</v>
      </c>
      <c r="G1758" s="3" t="n">
        <v>0</v>
      </c>
      <c r="H1758" s="3" t="n">
        <v>0</v>
      </c>
    </row>
    <row r="1759" customFormat="false" ht="14.25" hidden="false" customHeight="true" outlineLevel="0" collapsed="false">
      <c r="A1759" s="1"/>
      <c r="B1759" s="1" t="s">
        <v>1900</v>
      </c>
      <c r="C1759" s="1" t="n">
        <v>4</v>
      </c>
      <c r="E1759" s="11" t="s">
        <v>119</v>
      </c>
      <c r="F1759" s="11" t="str">
        <f aca="false">IFERROR(__xludf.dummyfunction("GOOGLETRANSLATE(B1759,""en"",""ar"")"),"نمط")</f>
        <v>نمط</v>
      </c>
      <c r="G1759" s="3" t="n">
        <v>0</v>
      </c>
      <c r="H1759" s="3" t="n">
        <v>0</v>
      </c>
    </row>
    <row r="1760" customFormat="false" ht="14.25" hidden="false" customHeight="true" outlineLevel="0" collapsed="false">
      <c r="A1760" s="1"/>
      <c r="B1760" s="1" t="s">
        <v>1901</v>
      </c>
      <c r="C1760" s="1" t="n">
        <v>4</v>
      </c>
      <c r="E1760" s="11" t="s">
        <v>119</v>
      </c>
      <c r="F1760" s="11" t="str">
        <f aca="false">IFERROR(__xludf.dummyfunction("GOOGLETRANSLATE(B1760,""en"",""ar"")"),"دبوس")</f>
        <v>دبوس</v>
      </c>
      <c r="G1760" s="3" t="n">
        <v>0</v>
      </c>
      <c r="H1760" s="3" t="n">
        <v>0</v>
      </c>
    </row>
    <row r="1761" customFormat="false" ht="14.25" hidden="false" customHeight="true" outlineLevel="0" collapsed="false">
      <c r="A1761" s="1"/>
      <c r="B1761" s="1" t="s">
        <v>1902</v>
      </c>
      <c r="C1761" s="1" t="n">
        <v>4</v>
      </c>
      <c r="E1761" s="11" t="s">
        <v>79</v>
      </c>
      <c r="F1761" s="11" t="str">
        <f aca="false">IFERROR(__xludf.dummyfunction("GOOGLETRANSLATE(B1761,""en"",""ar"")"),"الشعر")</f>
        <v>الشعر</v>
      </c>
      <c r="G1761" s="3" t="n">
        <v>0</v>
      </c>
      <c r="H1761" s="3" t="n">
        <v>0</v>
      </c>
    </row>
    <row r="1762" customFormat="false" ht="14.25" hidden="false" customHeight="true" outlineLevel="0" collapsed="false">
      <c r="A1762" s="1"/>
      <c r="B1762" s="1" t="s">
        <v>1903</v>
      </c>
      <c r="C1762" s="1" t="n">
        <v>4</v>
      </c>
      <c r="E1762" s="11" t="s">
        <v>79</v>
      </c>
      <c r="F1762" s="11" t="str">
        <f aca="false">IFERROR(__xludf.dummyfunction("GOOGLETRANSLATE(B1762,""en"",""ar"")"),"شرطة")</f>
        <v>شرطة</v>
      </c>
      <c r="G1762" s="3" t="n">
        <v>0</v>
      </c>
      <c r="H1762" s="3" t="n">
        <v>0</v>
      </c>
    </row>
    <row r="1763" customFormat="false" ht="14.25" hidden="false" customHeight="true" outlineLevel="0" collapsed="false">
      <c r="A1763" s="1"/>
      <c r="B1763" s="1" t="s">
        <v>1904</v>
      </c>
      <c r="C1763" s="1" t="n">
        <v>4</v>
      </c>
      <c r="E1763" s="11" t="s">
        <v>119</v>
      </c>
      <c r="F1763" s="11" t="str">
        <f aca="false">IFERROR(__xludf.dummyfunction("GOOGLETRANSLATE(B1763,""en"",""ar"")"),"تجمع")</f>
        <v>تجمع</v>
      </c>
      <c r="G1763" s="3" t="n">
        <v>0</v>
      </c>
      <c r="H1763" s="3" t="n">
        <v>0</v>
      </c>
    </row>
    <row r="1764" customFormat="false" ht="14.25" hidden="false" customHeight="true" outlineLevel="0" collapsed="false">
      <c r="A1764" s="1"/>
      <c r="B1764" s="1" t="s">
        <v>1905</v>
      </c>
      <c r="C1764" s="1" t="n">
        <v>4</v>
      </c>
      <c r="E1764" s="11" t="s">
        <v>12</v>
      </c>
      <c r="F1764" s="11" t="str">
        <f aca="false">IFERROR(__xludf.dummyfunction("GOOGLETRANSLATE(B1764,""en"",""ar"")"),"يمتلك")</f>
        <v>يمتلك</v>
      </c>
      <c r="G1764" s="3" t="n">
        <v>0</v>
      </c>
      <c r="H1764" s="3" t="n">
        <v>0</v>
      </c>
    </row>
    <row r="1765" customFormat="false" ht="14.25" hidden="false" customHeight="true" outlineLevel="0" collapsed="false">
      <c r="A1765" s="1"/>
      <c r="B1765" s="1" t="s">
        <v>1906</v>
      </c>
      <c r="C1765" s="1" t="n">
        <v>4</v>
      </c>
      <c r="E1765" s="11" t="s">
        <v>79</v>
      </c>
      <c r="F1765" s="11" t="str">
        <f aca="false">IFERROR(__xludf.dummyfunction("GOOGLETRANSLATE(B1765,""en"",""ar"")"),"إمكانية")</f>
        <v>إمكانية</v>
      </c>
      <c r="G1765" s="3" t="n">
        <v>0</v>
      </c>
      <c r="H1765" s="3" t="n">
        <v>0</v>
      </c>
    </row>
    <row r="1766" customFormat="false" ht="14.25" hidden="false" customHeight="true" outlineLevel="0" collapsed="false">
      <c r="A1766" s="1"/>
      <c r="B1766" s="1" t="s">
        <v>1907</v>
      </c>
      <c r="C1766" s="1" t="n">
        <v>4</v>
      </c>
      <c r="E1766" s="11" t="s">
        <v>119</v>
      </c>
      <c r="F1766" s="11" t="str">
        <f aca="false">IFERROR(__xludf.dummyfunction("GOOGLETRANSLATE(B1766,""en"",""ar"")"),"جنيه")</f>
        <v>جنيه</v>
      </c>
      <c r="G1766" s="3" t="n">
        <v>0</v>
      </c>
      <c r="H1766" s="3" t="n">
        <v>0</v>
      </c>
    </row>
    <row r="1767" customFormat="false" ht="14.25" hidden="false" customHeight="true" outlineLevel="0" collapsed="false">
      <c r="A1767" s="1"/>
      <c r="B1767" s="1" t="s">
        <v>1908</v>
      </c>
      <c r="C1767" s="1" t="n">
        <v>4</v>
      </c>
      <c r="E1767" s="11" t="s">
        <v>79</v>
      </c>
      <c r="F1767" s="11" t="str">
        <f aca="false">IFERROR(__xludf.dummyfunction("GOOGLETRANSLATE(B1767,""en"",""ar"")"),"إجراء")</f>
        <v>إجراء</v>
      </c>
      <c r="G1767" s="3" t="n">
        <v>0</v>
      </c>
      <c r="H1767" s="3" t="n">
        <v>0</v>
      </c>
    </row>
    <row r="1768" customFormat="false" ht="14.25" hidden="false" customHeight="true" outlineLevel="0" collapsed="false">
      <c r="A1768" s="1"/>
      <c r="B1768" s="1" t="s">
        <v>1909</v>
      </c>
      <c r="C1768" s="1" t="n">
        <v>4</v>
      </c>
      <c r="E1768" s="11" t="s">
        <v>79</v>
      </c>
      <c r="F1768" s="11" t="str">
        <f aca="false">IFERROR(__xludf.dummyfunction("GOOGLETRANSLATE(B1768,""en"",""ar"")"),"ملكة")</f>
        <v>ملكة</v>
      </c>
      <c r="G1768" s="3" t="n">
        <v>0</v>
      </c>
      <c r="H1768" s="3" t="n">
        <v>0</v>
      </c>
    </row>
    <row r="1769" customFormat="false" ht="14.25" hidden="false" customHeight="true" outlineLevel="0" collapsed="false">
      <c r="A1769" s="1"/>
      <c r="B1769" s="1" t="s">
        <v>1910</v>
      </c>
      <c r="C1769" s="1" t="n">
        <v>4</v>
      </c>
      <c r="E1769" s="11" t="s">
        <v>79</v>
      </c>
      <c r="F1769" s="11" t="str">
        <f aca="false">IFERROR(__xludf.dummyfunction("GOOGLETRANSLATE(B1769,""en"",""ar"")"),"نسبة")</f>
        <v>نسبة</v>
      </c>
      <c r="G1769" s="3" t="n">
        <v>0</v>
      </c>
      <c r="H1769" s="3" t="n">
        <v>0</v>
      </c>
    </row>
    <row r="1770" customFormat="false" ht="14.25" hidden="false" customHeight="true" outlineLevel="0" collapsed="false">
      <c r="A1770" s="1"/>
      <c r="B1770" s="1" t="s">
        <v>1911</v>
      </c>
      <c r="C1770" s="1" t="n">
        <v>4</v>
      </c>
      <c r="E1770" s="11" t="s">
        <v>42</v>
      </c>
      <c r="F1770" s="11" t="str">
        <f aca="false">IFERROR(__xludf.dummyfunction("GOOGLETRANSLATE(B1770,""en"",""ar"")"),"بسهولة")</f>
        <v>بسهولة</v>
      </c>
      <c r="G1770" s="3" t="n">
        <v>0</v>
      </c>
      <c r="H1770" s="3" t="n">
        <v>0</v>
      </c>
    </row>
    <row r="1771" customFormat="false" ht="14.25" hidden="false" customHeight="true" outlineLevel="0" collapsed="false">
      <c r="A1771" s="1"/>
      <c r="B1771" s="1" t="s">
        <v>1912</v>
      </c>
      <c r="C1771" s="1" t="n">
        <v>4</v>
      </c>
      <c r="E1771" s="11" t="s">
        <v>79</v>
      </c>
      <c r="F1771" s="11" t="str">
        <f aca="false">IFERROR(__xludf.dummyfunction("GOOGLETRANSLATE(B1771,""en"",""ar"")"),"علاقة")</f>
        <v>علاقة</v>
      </c>
      <c r="G1771" s="3" t="n">
        <v>0</v>
      </c>
      <c r="H1771" s="3" t="n">
        <v>0</v>
      </c>
    </row>
    <row r="1772" customFormat="false" ht="14.25" hidden="false" customHeight="true" outlineLevel="0" collapsed="false">
      <c r="A1772" s="1"/>
      <c r="B1772" s="1" t="s">
        <v>1913</v>
      </c>
      <c r="C1772" s="1" t="n">
        <v>4</v>
      </c>
      <c r="E1772" s="11" t="s">
        <v>12</v>
      </c>
      <c r="F1772" s="11" t="str">
        <f aca="false">IFERROR(__xludf.dummyfunction("GOOGLETRANSLATE(B1772,""en"",""ar"")"),"يخفف")</f>
        <v>يخفف</v>
      </c>
      <c r="G1772" s="3" t="n">
        <v>0</v>
      </c>
      <c r="H1772" s="3" t="n">
        <v>0</v>
      </c>
    </row>
    <row r="1773" customFormat="false" ht="14.25" hidden="false" customHeight="true" outlineLevel="0" collapsed="false">
      <c r="A1773" s="1"/>
      <c r="B1773" s="1" t="s">
        <v>1914</v>
      </c>
      <c r="C1773" s="1" t="n">
        <v>4</v>
      </c>
      <c r="E1773" s="11" t="s">
        <v>119</v>
      </c>
      <c r="F1773" s="11" t="str">
        <f aca="false">IFERROR(__xludf.dummyfunction("GOOGLETRANSLATE(B1773,""en"",""ar"")"),"طلب")</f>
        <v>طلب</v>
      </c>
      <c r="G1773" s="3" t="n">
        <v>0</v>
      </c>
      <c r="H1773" s="3" t="n">
        <v>0</v>
      </c>
    </row>
    <row r="1774" customFormat="false" ht="14.25" hidden="false" customHeight="true" outlineLevel="0" collapsed="false">
      <c r="A1774" s="1"/>
      <c r="B1774" s="1" t="s">
        <v>1915</v>
      </c>
      <c r="C1774" s="1" t="n">
        <v>4</v>
      </c>
      <c r="E1774" s="11" t="s">
        <v>94</v>
      </c>
      <c r="F1774" s="11" t="str">
        <f aca="false">IFERROR(__xludf.dummyfunction("GOOGLETRANSLATE(B1774,""en"",""ar"")"),"رد")</f>
        <v>رد</v>
      </c>
      <c r="G1774" s="3" t="n">
        <v>0</v>
      </c>
      <c r="H1774" s="3" t="n">
        <v>0</v>
      </c>
    </row>
    <row r="1775" customFormat="false" ht="14.25" hidden="false" customHeight="true" outlineLevel="0" collapsed="false">
      <c r="A1775" s="1"/>
      <c r="B1775" s="1" t="s">
        <v>1916</v>
      </c>
      <c r="C1775" s="1" t="n">
        <v>4</v>
      </c>
      <c r="E1775" s="11" t="s">
        <v>79</v>
      </c>
      <c r="F1775" s="11" t="str">
        <f aca="false">IFERROR(__xludf.dummyfunction("GOOGLETRANSLATE(B1775,""en"",""ar"")"),"مطعم")</f>
        <v>مطعم</v>
      </c>
      <c r="G1775" s="3" t="n">
        <v>0</v>
      </c>
      <c r="H1775" s="3" t="n">
        <v>0</v>
      </c>
    </row>
    <row r="1776" customFormat="false" ht="14.25" hidden="false" customHeight="true" outlineLevel="0" collapsed="false">
      <c r="A1776" s="1"/>
      <c r="B1776" s="1" t="s">
        <v>1917</v>
      </c>
      <c r="C1776" s="1" t="n">
        <v>4</v>
      </c>
      <c r="E1776" s="11" t="s">
        <v>12</v>
      </c>
      <c r="F1776" s="11" t="str">
        <f aca="false">IFERROR(__xludf.dummyfunction("GOOGLETRANSLATE(B1776,""en"",""ar"")"),"يحتفظ")</f>
        <v>يحتفظ</v>
      </c>
      <c r="G1776" s="3" t="n">
        <v>0</v>
      </c>
      <c r="H1776" s="3" t="n">
        <v>0</v>
      </c>
    </row>
    <row r="1777" customFormat="false" ht="14.25" hidden="false" customHeight="true" outlineLevel="0" collapsed="false">
      <c r="A1777" s="1"/>
      <c r="B1777" s="1" t="s">
        <v>1918</v>
      </c>
      <c r="C1777" s="1" t="n">
        <v>4</v>
      </c>
      <c r="E1777" s="11" t="s">
        <v>235</v>
      </c>
      <c r="F1777" s="11" t="str">
        <f aca="false">IFERROR(__xludf.dummyfunction("GOOGLETRANSLATE(B1777,""en"",""ar"")"),"ملكي")</f>
        <v>ملكي</v>
      </c>
      <c r="G1777" s="3" t="n">
        <v>0</v>
      </c>
      <c r="H1777" s="3" t="n">
        <v>0</v>
      </c>
    </row>
    <row r="1778" customFormat="false" ht="14.25" hidden="false" customHeight="true" outlineLevel="0" collapsed="false">
      <c r="A1778" s="1"/>
      <c r="B1778" s="1" t="s">
        <v>1919</v>
      </c>
      <c r="C1778" s="1" t="n">
        <v>4</v>
      </c>
      <c r="E1778" s="11" t="s">
        <v>119</v>
      </c>
      <c r="F1778" s="11" t="str">
        <f aca="false">IFERROR(__xludf.dummyfunction("GOOGLETRANSLATE(B1778,""en"",""ar"")"),"راتب")</f>
        <v>راتب</v>
      </c>
      <c r="G1778" s="3" t="n">
        <v>0</v>
      </c>
      <c r="H1778" s="3" t="n">
        <v>0</v>
      </c>
    </row>
    <row r="1779" customFormat="false" ht="14.25" hidden="false" customHeight="true" outlineLevel="0" collapsed="false">
      <c r="A1779" s="1"/>
      <c r="B1779" s="1" t="s">
        <v>1920</v>
      </c>
      <c r="C1779" s="1" t="n">
        <v>4</v>
      </c>
      <c r="E1779" s="11" t="s">
        <v>79</v>
      </c>
      <c r="F1779" s="11" t="str">
        <f aca="false">IFERROR(__xludf.dummyfunction("GOOGLETRANSLATE(B1779,""en"",""ar"")"),"إشباع")</f>
        <v>إشباع</v>
      </c>
      <c r="G1779" s="3" t="n">
        <v>0</v>
      </c>
      <c r="H1779" s="3" t="n">
        <v>0</v>
      </c>
    </row>
    <row r="1780" customFormat="false" ht="14.25" hidden="false" customHeight="true" outlineLevel="0" collapsed="false">
      <c r="A1780" s="1"/>
      <c r="B1780" s="1" t="s">
        <v>1921</v>
      </c>
      <c r="C1780" s="1" t="n">
        <v>4</v>
      </c>
      <c r="E1780" s="11" t="s">
        <v>79</v>
      </c>
      <c r="F1780" s="11" t="str">
        <f aca="false">IFERROR(__xludf.dummyfunction("GOOGLETRANSLATE(B1780,""en"",""ar"")"),"قطاع")</f>
        <v>قطاع</v>
      </c>
      <c r="G1780" s="3" t="n">
        <v>0</v>
      </c>
      <c r="H1780" s="3" t="n">
        <v>0</v>
      </c>
    </row>
    <row r="1781" customFormat="false" ht="14.25" hidden="false" customHeight="true" outlineLevel="0" collapsed="false">
      <c r="A1781" s="1"/>
      <c r="B1781" s="1" t="s">
        <v>1922</v>
      </c>
      <c r="C1781" s="1" t="n">
        <v>4</v>
      </c>
      <c r="E1781" s="11" t="s">
        <v>235</v>
      </c>
      <c r="F1781" s="11" t="str">
        <f aca="false">IFERROR(__xludf.dummyfunction("GOOGLETRANSLATE(B1781,""en"",""ar"")"),"أول")</f>
        <v>أول</v>
      </c>
      <c r="G1781" s="3" t="n">
        <v>0</v>
      </c>
      <c r="H1781" s="3" t="n">
        <v>0</v>
      </c>
    </row>
    <row r="1782" customFormat="false" ht="14.25" hidden="false" customHeight="true" outlineLevel="0" collapsed="false">
      <c r="A1782" s="1"/>
      <c r="B1782" s="1" t="s">
        <v>1923</v>
      </c>
      <c r="C1782" s="1" t="n">
        <v>4</v>
      </c>
      <c r="E1782" s="11" t="s">
        <v>119</v>
      </c>
      <c r="F1782" s="11" t="str">
        <f aca="false">IFERROR(__xludf.dummyfunction("GOOGLETRANSLATE(B1782,""en"",""ar"")"),"عار")</f>
        <v>عار</v>
      </c>
      <c r="G1782" s="3" t="n">
        <v>0</v>
      </c>
      <c r="H1782" s="3" t="n">
        <v>0</v>
      </c>
    </row>
    <row r="1783" customFormat="false" ht="14.25" hidden="false" customHeight="true" outlineLevel="0" collapsed="false">
      <c r="A1783" s="1"/>
      <c r="B1783" s="1" t="s">
        <v>1924</v>
      </c>
      <c r="C1783" s="1" t="n">
        <v>4</v>
      </c>
      <c r="E1783" s="11" t="s">
        <v>119</v>
      </c>
      <c r="F1783" s="11" t="str">
        <f aca="false">IFERROR(__xludf.dummyfunction("GOOGLETRANSLATE(B1783,""en"",""ar"")"),"مأوى")</f>
        <v>مأوى</v>
      </c>
      <c r="G1783" s="3" t="n">
        <v>0</v>
      </c>
      <c r="H1783" s="3" t="n">
        <v>0</v>
      </c>
    </row>
    <row r="1784" customFormat="false" ht="14.25" hidden="false" customHeight="true" outlineLevel="0" collapsed="false">
      <c r="A1784" s="1"/>
      <c r="B1784" s="1" t="s">
        <v>1925</v>
      </c>
      <c r="C1784" s="1" t="n">
        <v>4</v>
      </c>
      <c r="E1784" s="11" t="s">
        <v>119</v>
      </c>
      <c r="F1784" s="11" t="str">
        <f aca="false">IFERROR(__xludf.dummyfunction("GOOGLETRANSLATE(B1784,""en"",""ar"")"),"حذاء")</f>
        <v>حذاء</v>
      </c>
      <c r="G1784" s="3" t="n">
        <v>0</v>
      </c>
      <c r="H1784" s="3" t="n">
        <v>0</v>
      </c>
    </row>
    <row r="1785" customFormat="false" ht="14.25" hidden="false" customHeight="true" outlineLevel="0" collapsed="false">
      <c r="A1785" s="1"/>
      <c r="B1785" s="1" t="s">
        <v>1926</v>
      </c>
      <c r="C1785" s="1" t="n">
        <v>4</v>
      </c>
      <c r="E1785" s="11" t="s">
        <v>12</v>
      </c>
      <c r="F1785" s="11" t="str">
        <f aca="false">IFERROR(__xludf.dummyfunction("GOOGLETRANSLATE(B1785,""en"",""ar"")"),"اغلق")</f>
        <v>اغلق</v>
      </c>
      <c r="G1785" s="3" t="n">
        <v>0</v>
      </c>
      <c r="H1785" s="3" t="n">
        <v>0</v>
      </c>
    </row>
    <row r="1786" customFormat="false" ht="14.25" hidden="false" customHeight="true" outlineLevel="0" collapsed="false">
      <c r="A1786" s="1"/>
      <c r="B1786" s="1" t="s">
        <v>1927</v>
      </c>
      <c r="C1786" s="1" t="n">
        <v>4</v>
      </c>
      <c r="E1786" s="11" t="s">
        <v>79</v>
      </c>
      <c r="F1786" s="11" t="str">
        <f aca="false">IFERROR(__xludf.dummyfunction("GOOGLETRANSLATE(B1786,""en"",""ar"")"),"التوقيع")</f>
        <v>التوقيع</v>
      </c>
      <c r="G1786" s="3" t="n">
        <v>0</v>
      </c>
      <c r="H1786" s="3" t="n">
        <v>0</v>
      </c>
    </row>
    <row r="1787" customFormat="false" ht="14.25" hidden="false" customHeight="true" outlineLevel="0" collapsed="false">
      <c r="A1787" s="1"/>
      <c r="B1787" s="1" t="s">
        <v>1928</v>
      </c>
      <c r="C1787" s="1" t="n">
        <v>4</v>
      </c>
      <c r="E1787" s="11" t="s">
        <v>79</v>
      </c>
      <c r="F1787" s="11" t="str">
        <f aca="false">IFERROR(__xludf.dummyfunction("GOOGLETRANSLATE(B1787,""en"",""ar"")"),"دلالة")</f>
        <v>دلالة</v>
      </c>
      <c r="G1787" s="3" t="n">
        <v>0</v>
      </c>
      <c r="H1787" s="3" t="n">
        <v>0</v>
      </c>
    </row>
    <row r="1788" customFormat="false" ht="14.25" hidden="false" customHeight="true" outlineLevel="0" collapsed="false">
      <c r="A1788" s="1"/>
      <c r="B1788" s="1" t="s">
        <v>1929</v>
      </c>
      <c r="C1788" s="1" t="n">
        <v>4</v>
      </c>
      <c r="E1788" s="11" t="s">
        <v>83</v>
      </c>
      <c r="F1788" s="11" t="str">
        <f aca="false">IFERROR(__xludf.dummyfunction("GOOGLETRANSLATE(B1788,""en"",""ar"")"),"فضة")</f>
        <v>فضة</v>
      </c>
      <c r="G1788" s="3" t="n">
        <v>0</v>
      </c>
      <c r="H1788" s="3" t="n">
        <v>0</v>
      </c>
    </row>
    <row r="1789" customFormat="false" ht="14.25" hidden="false" customHeight="true" outlineLevel="0" collapsed="false">
      <c r="A1789" s="1"/>
      <c r="B1789" s="1" t="s">
        <v>1930</v>
      </c>
      <c r="C1789" s="1" t="n">
        <v>4</v>
      </c>
      <c r="E1789" s="11" t="s">
        <v>30</v>
      </c>
      <c r="F1789" s="11" t="str">
        <f aca="false">IFERROR(__xludf.dummyfunction("GOOGLETRANSLATE(B1789,""en"",""ar"")"),"شخص ما")</f>
        <v>شخص ما</v>
      </c>
      <c r="G1789" s="3" t="n">
        <v>0</v>
      </c>
      <c r="H1789" s="3" t="n">
        <v>0</v>
      </c>
    </row>
    <row r="1790" customFormat="false" ht="14.25" hidden="false" customHeight="true" outlineLevel="0" collapsed="false">
      <c r="A1790" s="1"/>
      <c r="B1790" s="1" t="s">
        <v>1931</v>
      </c>
      <c r="C1790" s="1" t="n">
        <v>4</v>
      </c>
      <c r="E1790" s="11" t="s">
        <v>79</v>
      </c>
      <c r="F1790" s="11" t="str">
        <f aca="false">IFERROR(__xludf.dummyfunction("GOOGLETRANSLATE(B1790,""en"",""ar"")"),"أغنية")</f>
        <v>أغنية</v>
      </c>
      <c r="G1790" s="3" t="n">
        <v>0</v>
      </c>
      <c r="H1790" s="3" t="n">
        <v>0</v>
      </c>
    </row>
    <row r="1791" customFormat="false" ht="14.25" hidden="false" customHeight="true" outlineLevel="0" collapsed="false">
      <c r="A1791" s="1"/>
      <c r="B1791" s="1" t="s">
        <v>1932</v>
      </c>
      <c r="C1791" s="1" t="n">
        <v>4</v>
      </c>
      <c r="E1791" s="11" t="s">
        <v>112</v>
      </c>
      <c r="F1791" s="11" t="str">
        <f aca="false">IFERROR(__xludf.dummyfunction("GOOGLETRANSLATE(B1791,""en"",""ar"")"),"جنوبي")</f>
        <v>جنوبي</v>
      </c>
      <c r="G1791" s="3" t="n">
        <v>0</v>
      </c>
      <c r="H1791" s="3" t="n">
        <v>0</v>
      </c>
    </row>
    <row r="1792" customFormat="false" ht="14.25" hidden="false" customHeight="true" outlineLevel="0" collapsed="false">
      <c r="A1792" s="1"/>
      <c r="B1792" s="1" t="s">
        <v>1933</v>
      </c>
      <c r="C1792" s="1" t="n">
        <v>4</v>
      </c>
      <c r="E1792" s="11" t="s">
        <v>94</v>
      </c>
      <c r="F1792" s="11" t="str">
        <f aca="false">IFERROR(__xludf.dummyfunction("GOOGLETRANSLATE(B1792,""en"",""ar"")"),"ينقسم")</f>
        <v>ينقسم</v>
      </c>
      <c r="G1792" s="3" t="n">
        <v>0</v>
      </c>
      <c r="H1792" s="3" t="n">
        <v>0</v>
      </c>
    </row>
    <row r="1793" customFormat="false" ht="14.25" hidden="false" customHeight="true" outlineLevel="0" collapsed="false">
      <c r="A1793" s="1"/>
      <c r="B1793" s="1" t="s">
        <v>1934</v>
      </c>
      <c r="C1793" s="1" t="n">
        <v>4</v>
      </c>
      <c r="E1793" s="11" t="s">
        <v>94</v>
      </c>
      <c r="F1793" s="11" t="str">
        <f aca="false">IFERROR(__xludf.dummyfunction("GOOGLETRANSLATE(B1793,""en"",""ar"")"),"أضنى")</f>
        <v>أضنى</v>
      </c>
      <c r="G1793" s="3" t="n">
        <v>0</v>
      </c>
      <c r="H1793" s="3" t="n">
        <v>0</v>
      </c>
    </row>
    <row r="1794" customFormat="false" ht="14.25" hidden="false" customHeight="true" outlineLevel="0" collapsed="false">
      <c r="A1794" s="1"/>
      <c r="B1794" s="1" t="s">
        <v>1935</v>
      </c>
      <c r="C1794" s="1" t="n">
        <v>4</v>
      </c>
      <c r="E1794" s="11" t="s">
        <v>94</v>
      </c>
      <c r="F1794" s="11" t="str">
        <f aca="false">IFERROR(__xludf.dummyfunction("GOOGLETRANSLATE(B1794,""en"",""ar"")"),"تعثر في الشئ")</f>
        <v>تعثر في الشئ</v>
      </c>
      <c r="G1794" s="3" t="n">
        <v>0</v>
      </c>
      <c r="H1794" s="3" t="n">
        <v>0</v>
      </c>
    </row>
    <row r="1795" customFormat="false" ht="14.25" hidden="false" customHeight="true" outlineLevel="0" collapsed="false">
      <c r="A1795" s="1"/>
      <c r="B1795" s="1" t="s">
        <v>1936</v>
      </c>
      <c r="C1795" s="1" t="n">
        <v>4</v>
      </c>
      <c r="E1795" s="11" t="s">
        <v>336</v>
      </c>
      <c r="F1795" s="11" t="str">
        <f aca="false">IFERROR(__xludf.dummyfunction("GOOGLETRANSLATE(B1795,""en"",""ar"")"),"ممتاز")</f>
        <v>ممتاز</v>
      </c>
      <c r="G1795" s="3" t="n">
        <v>0</v>
      </c>
      <c r="H1795" s="3" t="n">
        <v>0</v>
      </c>
    </row>
    <row r="1796" customFormat="false" ht="14.25" hidden="false" customHeight="true" outlineLevel="0" collapsed="false">
      <c r="A1796" s="1"/>
      <c r="B1796" s="1" t="s">
        <v>1937</v>
      </c>
      <c r="C1796" s="1" t="n">
        <v>4</v>
      </c>
      <c r="E1796" s="11" t="s">
        <v>94</v>
      </c>
      <c r="F1796" s="11" t="str">
        <f aca="false">IFERROR(__xludf.dummyfunction("GOOGLETRANSLATE(B1796,""en"",""ar"")"),"سباحة")</f>
        <v>سباحة</v>
      </c>
      <c r="G1796" s="3" t="n">
        <v>0</v>
      </c>
      <c r="H1796" s="3" t="n">
        <v>0</v>
      </c>
    </row>
    <row r="1797" customFormat="false" ht="14.25" hidden="false" customHeight="true" outlineLevel="0" collapsed="false">
      <c r="A1797" s="1"/>
      <c r="B1797" s="1" t="s">
        <v>1938</v>
      </c>
      <c r="C1797" s="1" t="n">
        <v>4</v>
      </c>
      <c r="E1797" s="11" t="s">
        <v>119</v>
      </c>
      <c r="F1797" s="11" t="str">
        <f aca="false">IFERROR(__xludf.dummyfunction("GOOGLETRANSLATE(B1797,""en"",""ar"")"),"يتصدى")</f>
        <v>يتصدى</v>
      </c>
      <c r="G1797" s="3" t="n">
        <v>0</v>
      </c>
      <c r="H1797" s="3" t="n">
        <v>0</v>
      </c>
    </row>
    <row r="1798" customFormat="false" ht="14.25" hidden="false" customHeight="true" outlineLevel="0" collapsed="false">
      <c r="A1798" s="1"/>
      <c r="B1798" s="1" t="s">
        <v>1939</v>
      </c>
      <c r="C1798" s="1" t="n">
        <v>4</v>
      </c>
      <c r="E1798" s="11" t="s">
        <v>119</v>
      </c>
      <c r="F1798" s="11" t="str">
        <f aca="false">IFERROR(__xludf.dummyfunction("GOOGLETRANSLATE(B1798,""en"",""ar"")"),"خزان")</f>
        <v>خزان</v>
      </c>
      <c r="G1798" s="3" t="n">
        <v>0</v>
      </c>
      <c r="H1798" s="3" t="n">
        <v>0</v>
      </c>
    </row>
    <row r="1799" customFormat="false" ht="14.25" hidden="false" customHeight="true" outlineLevel="0" collapsed="false">
      <c r="A1799" s="1"/>
      <c r="B1799" s="1" t="s">
        <v>1940</v>
      </c>
      <c r="C1799" s="1" t="n">
        <v>4</v>
      </c>
      <c r="E1799" s="11" t="s">
        <v>42</v>
      </c>
      <c r="F1799" s="11" t="str">
        <f aca="false">IFERROR(__xludf.dummyfunction("GOOGLETRANSLATE(B1799,""en"",""ar"")"),"رهيب")</f>
        <v>رهيب</v>
      </c>
      <c r="G1799" s="3" t="n">
        <v>0</v>
      </c>
      <c r="H1799" s="3" t="n">
        <v>0</v>
      </c>
    </row>
    <row r="1800" customFormat="false" ht="14.25" hidden="false" customHeight="true" outlineLevel="0" collapsed="false">
      <c r="A1800" s="1"/>
      <c r="B1800" s="1" t="s">
        <v>1941</v>
      </c>
      <c r="C1800" s="1" t="n">
        <v>4</v>
      </c>
      <c r="E1800" s="11" t="s">
        <v>50</v>
      </c>
      <c r="F1800" s="11" t="str">
        <f aca="false">IFERROR(__xludf.dummyfunction("GOOGLETRANSLATE(B1800,""en"",""ar"")"),"مشدود")</f>
        <v>مشدود</v>
      </c>
      <c r="G1800" s="3" t="n">
        <v>0</v>
      </c>
      <c r="H1800" s="3" t="n">
        <v>0</v>
      </c>
    </row>
    <row r="1801" customFormat="false" ht="14.25" hidden="false" customHeight="true" outlineLevel="0" collapsed="false">
      <c r="A1801" s="1"/>
      <c r="B1801" s="1" t="s">
        <v>1942</v>
      </c>
      <c r="C1801" s="1" t="n">
        <v>4</v>
      </c>
      <c r="E1801" s="11" t="s">
        <v>79</v>
      </c>
      <c r="F1801" s="11" t="str">
        <f aca="false">IFERROR(__xludf.dummyfunction("GOOGLETRANSLATE(B1801,""en"",""ar"")"),"سن")</f>
        <v>سن</v>
      </c>
      <c r="G1801" s="3" t="n">
        <v>0</v>
      </c>
      <c r="H1801" s="3" t="n">
        <v>0</v>
      </c>
    </row>
    <row r="1802" customFormat="false" ht="14.25" hidden="false" customHeight="true" outlineLevel="0" collapsed="false">
      <c r="A1802" s="1"/>
      <c r="B1802" s="1" t="s">
        <v>1943</v>
      </c>
      <c r="C1802" s="1" t="n">
        <v>4</v>
      </c>
      <c r="E1802" s="11" t="s">
        <v>79</v>
      </c>
      <c r="F1802" s="11" t="str">
        <f aca="false">IFERROR(__xludf.dummyfunction("GOOGLETRANSLATE(B1802,""en"",""ar"")"),"قرية")</f>
        <v>قرية</v>
      </c>
      <c r="G1802" s="3" t="n">
        <v>0</v>
      </c>
      <c r="H1802" s="3" t="n">
        <v>0</v>
      </c>
    </row>
    <row r="1803" customFormat="false" ht="14.25" hidden="false" customHeight="true" outlineLevel="0" collapsed="false">
      <c r="A1803" s="1"/>
      <c r="B1803" s="1" t="s">
        <v>1944</v>
      </c>
      <c r="C1803" s="1" t="n">
        <v>4</v>
      </c>
      <c r="E1803" s="11" t="s">
        <v>94</v>
      </c>
      <c r="F1803" s="11" t="str">
        <f aca="false">IFERROR(__xludf.dummyfunction("GOOGLETRANSLATE(B1803,""en"",""ar"")"),"قطار")</f>
        <v>قطار</v>
      </c>
      <c r="G1803" s="3" t="n">
        <v>0</v>
      </c>
      <c r="H1803" s="3" t="n">
        <v>0</v>
      </c>
    </row>
    <row r="1804" customFormat="false" ht="14.25" hidden="false" customHeight="true" outlineLevel="0" collapsed="false">
      <c r="A1804" s="1"/>
      <c r="B1804" s="1" t="s">
        <v>1945</v>
      </c>
      <c r="C1804" s="1" t="n">
        <v>4</v>
      </c>
      <c r="E1804" s="11" t="s">
        <v>119</v>
      </c>
      <c r="F1804" s="11" t="str">
        <f aca="false">IFERROR(__xludf.dummyfunction("GOOGLETRANSLATE(B1804,""en"",""ar"")"),"يثق")</f>
        <v>يثق</v>
      </c>
      <c r="G1804" s="3" t="n">
        <v>0</v>
      </c>
      <c r="H1804" s="3" t="n">
        <v>0</v>
      </c>
    </row>
    <row r="1805" customFormat="false" ht="14.25" hidden="false" customHeight="true" outlineLevel="0" collapsed="false">
      <c r="A1805" s="1"/>
      <c r="B1805" s="1" t="s">
        <v>1946</v>
      </c>
      <c r="C1805" s="1" t="n">
        <v>4</v>
      </c>
      <c r="E1805" s="11" t="s">
        <v>112</v>
      </c>
      <c r="F1805" s="11" t="str">
        <f aca="false">IFERROR(__xludf.dummyfunction("GOOGLETRANSLATE(B1805,""en"",""ar"")"),"غير منصف")</f>
        <v>غير منصف</v>
      </c>
      <c r="G1805" s="3" t="n">
        <v>0</v>
      </c>
      <c r="H1805" s="3" t="n">
        <v>0</v>
      </c>
    </row>
    <row r="1806" customFormat="false" ht="14.25" hidden="false" customHeight="true" outlineLevel="0" collapsed="false">
      <c r="A1806" s="1"/>
      <c r="B1806" s="1" t="s">
        <v>1947</v>
      </c>
      <c r="C1806" s="1" t="n">
        <v>4</v>
      </c>
      <c r="E1806" s="11" t="s">
        <v>42</v>
      </c>
      <c r="F1806" s="11" t="str">
        <f aca="false">IFERROR(__xludf.dummyfunction("GOOGLETRANSLATE(B1806,""en"",""ar"")"),"لسوء الحظ")</f>
        <v>لسوء الحظ</v>
      </c>
      <c r="G1806" s="3" t="n">
        <v>0</v>
      </c>
      <c r="H1806" s="3" t="n">
        <v>0</v>
      </c>
    </row>
    <row r="1807" customFormat="false" ht="14.25" hidden="false" customHeight="true" outlineLevel="0" collapsed="false">
      <c r="A1807" s="1"/>
      <c r="B1807" s="1" t="s">
        <v>1948</v>
      </c>
      <c r="C1807" s="1" t="n">
        <v>4</v>
      </c>
      <c r="E1807" s="11" t="s">
        <v>235</v>
      </c>
      <c r="F1807" s="11" t="str">
        <f aca="false">IFERROR(__xludf.dummyfunction("GOOGLETRANSLATE(B1807,""en"",""ar"")"),"أعلى")</f>
        <v>أعلى</v>
      </c>
      <c r="G1807" s="3" t="n">
        <v>0</v>
      </c>
      <c r="H1807" s="3" t="n">
        <v>0</v>
      </c>
    </row>
    <row r="1808" customFormat="false" ht="14.25" hidden="false" customHeight="true" outlineLevel="0" collapsed="false">
      <c r="A1808" s="1"/>
      <c r="B1808" s="1" t="s">
        <v>1949</v>
      </c>
      <c r="C1808" s="1" t="n">
        <v>4</v>
      </c>
      <c r="E1808" s="11" t="s">
        <v>79</v>
      </c>
      <c r="F1808" s="11" t="str">
        <f aca="false">IFERROR(__xludf.dummyfunction("GOOGLETRANSLATE(B1808,""en"",""ar"")"),"مركبة")</f>
        <v>مركبة</v>
      </c>
      <c r="G1808" s="3" t="n">
        <v>0</v>
      </c>
      <c r="H1808" s="3" t="n">
        <v>0</v>
      </c>
    </row>
    <row r="1809" customFormat="false" ht="14.25" hidden="false" customHeight="true" outlineLevel="0" collapsed="false">
      <c r="A1809" s="1"/>
      <c r="B1809" s="1" t="s">
        <v>1950</v>
      </c>
      <c r="C1809" s="1" t="n">
        <v>4</v>
      </c>
      <c r="E1809" s="11" t="s">
        <v>112</v>
      </c>
      <c r="F1809" s="11" t="str">
        <f aca="false">IFERROR(__xludf.dummyfunction("GOOGLETRANSLATE(B1809,""en"",""ar"")"),"مرئي")</f>
        <v>مرئي</v>
      </c>
      <c r="G1809" s="3" t="n">
        <v>0</v>
      </c>
      <c r="H1809" s="3" t="n">
        <v>0</v>
      </c>
    </row>
    <row r="1810" customFormat="false" ht="14.25" hidden="false" customHeight="true" outlineLevel="0" collapsed="false">
      <c r="A1810" s="1"/>
      <c r="B1810" s="1" t="s">
        <v>1951</v>
      </c>
      <c r="C1810" s="1" t="n">
        <v>4</v>
      </c>
      <c r="E1810" s="11" t="s">
        <v>79</v>
      </c>
      <c r="F1810" s="11" t="str">
        <f aca="false">IFERROR(__xludf.dummyfunction("GOOGLETRANSLATE(B1810,""en"",""ar"")"),"أربعة حجمالخامس")</f>
        <v>أربعة حجمالخامس</v>
      </c>
      <c r="G1810" s="3" t="n">
        <v>0</v>
      </c>
      <c r="H1810" s="3" t="n">
        <v>0</v>
      </c>
    </row>
    <row r="1811" customFormat="false" ht="14.25" hidden="false" customHeight="true" outlineLevel="0" collapsed="false">
      <c r="A1811" s="1"/>
      <c r="B1811" s="1" t="s">
        <v>1952</v>
      </c>
      <c r="C1811" s="1" t="n">
        <v>4</v>
      </c>
      <c r="E1811" s="11" t="s">
        <v>94</v>
      </c>
      <c r="F1811" s="11" t="str">
        <f aca="false">IFERROR(__xludf.dummyfunction("GOOGLETRANSLATE(B1811,""en"",""ar"")"),"غسل")</f>
        <v>غسل</v>
      </c>
      <c r="G1811" s="3" t="n">
        <v>0</v>
      </c>
      <c r="H1811" s="3" t="n">
        <v>0</v>
      </c>
    </row>
    <row r="1812" customFormat="false" ht="14.25" hidden="false" customHeight="true" outlineLevel="0" collapsed="false">
      <c r="A1812" s="1"/>
      <c r="B1812" s="1" t="s">
        <v>1953</v>
      </c>
      <c r="C1812" s="1" t="n">
        <v>4</v>
      </c>
      <c r="E1812" s="11" t="s">
        <v>197</v>
      </c>
      <c r="F1812" s="11" t="str">
        <f aca="false">IFERROR(__xludf.dummyfunction("GOOGLETRANSLATE(B1812,""en"",""ar"")"),"المخلفات")</f>
        <v>المخلفات</v>
      </c>
      <c r="G1812" s="3" t="n">
        <v>0</v>
      </c>
      <c r="H1812" s="3" t="n">
        <v>0</v>
      </c>
    </row>
    <row r="1813" customFormat="false" ht="14.25" hidden="false" customHeight="true" outlineLevel="0" collapsed="false">
      <c r="A1813" s="1"/>
      <c r="B1813" s="1" t="s">
        <v>1954</v>
      </c>
      <c r="C1813" s="1" t="n">
        <v>4</v>
      </c>
      <c r="E1813" s="11" t="s">
        <v>79</v>
      </c>
      <c r="F1813" s="11" t="str">
        <f aca="false">IFERROR(__xludf.dummyfunction("GOOGLETRANSLATE(B1813,""en"",""ar"")"),"زوجة")</f>
        <v>زوجة</v>
      </c>
      <c r="G1813" s="3" t="n">
        <v>0</v>
      </c>
      <c r="H1813" s="3" t="n">
        <v>0</v>
      </c>
    </row>
    <row r="1814" customFormat="false" ht="14.25" hidden="false" customHeight="true" outlineLevel="0" collapsed="false">
      <c r="A1814" s="1"/>
      <c r="B1814" s="1" t="s">
        <v>1955</v>
      </c>
      <c r="C1814" s="1" t="n">
        <v>4</v>
      </c>
      <c r="E1814" s="11" t="s">
        <v>405</v>
      </c>
      <c r="F1814" s="11" t="str">
        <f aca="false">IFERROR(__xludf.dummyfunction("GOOGLETRANSLATE(B1814,""en"",""ar"")"),"الأصفر")</f>
        <v>الأصفر</v>
      </c>
      <c r="G1814" s="3" t="n">
        <v>0</v>
      </c>
      <c r="H1814" s="3" t="n">
        <v>0</v>
      </c>
    </row>
    <row r="1815" customFormat="false" ht="14.25" hidden="false" customHeight="true" outlineLevel="0" collapsed="false">
      <c r="A1815" s="1"/>
      <c r="B1815" s="1" t="s">
        <v>1956</v>
      </c>
      <c r="C1815" s="1" t="n">
        <v>4</v>
      </c>
      <c r="E1815" s="11" t="s">
        <v>30</v>
      </c>
      <c r="F1815" s="11" t="str">
        <f aca="false">IFERROR(__xludf.dummyfunction("GOOGLETRANSLATE(B1815,""en"",""ar"")"),"خاصة بك")</f>
        <v>خاصة بك</v>
      </c>
      <c r="G1815" s="3" t="n">
        <v>0</v>
      </c>
      <c r="H1815" s="3" t="n">
        <v>0</v>
      </c>
    </row>
    <row r="1816" customFormat="false" ht="14.25" hidden="false" customHeight="true" outlineLevel="0" collapsed="false">
      <c r="A1816" s="1"/>
      <c r="B1816" s="1" t="s">
        <v>1957</v>
      </c>
      <c r="C1816" s="1" t="n">
        <v>3</v>
      </c>
      <c r="E1816" s="11" t="s">
        <v>79</v>
      </c>
      <c r="F1816" s="11" t="str">
        <f aca="false">IFERROR(__xludf.dummyfunction("GOOGLETRANSLATE(B1816,""en"",""ar"")"),"حادثة")</f>
        <v>حادثة</v>
      </c>
      <c r="G1816" s="3" t="n">
        <v>0</v>
      </c>
      <c r="H1816" s="3" t="n">
        <v>0</v>
      </c>
    </row>
    <row r="1817" customFormat="false" ht="14.25" hidden="false" customHeight="true" outlineLevel="0" collapsed="false">
      <c r="A1817" s="1"/>
      <c r="B1817" s="1" t="s">
        <v>1958</v>
      </c>
      <c r="C1817" s="1" t="n">
        <v>3</v>
      </c>
      <c r="E1817" s="11" t="s">
        <v>79</v>
      </c>
      <c r="F1817" s="11" t="str">
        <f aca="false">IFERROR(__xludf.dummyfunction("GOOGLETRANSLATE(B1817,""en"",""ar"")"),"مطار")</f>
        <v>مطار</v>
      </c>
      <c r="G1817" s="3" t="n">
        <v>0</v>
      </c>
      <c r="H1817" s="3" t="n">
        <v>0</v>
      </c>
    </row>
    <row r="1818" customFormat="false" ht="14.25" hidden="false" customHeight="true" outlineLevel="0" collapsed="false">
      <c r="A1818" s="1"/>
      <c r="B1818" s="1" t="s">
        <v>1959</v>
      </c>
      <c r="C1818" s="1" t="n">
        <v>3</v>
      </c>
      <c r="E1818" s="11" t="s">
        <v>112</v>
      </c>
      <c r="F1818" s="11" t="str">
        <f aca="false">IFERROR(__xludf.dummyfunction("GOOGLETRANSLATE(B1818,""en"",""ar"")"),"على قيد الحياة")</f>
        <v>على قيد الحياة</v>
      </c>
      <c r="G1818" s="3" t="n">
        <v>0</v>
      </c>
      <c r="H1818" s="3" t="n">
        <v>0</v>
      </c>
    </row>
    <row r="1819" customFormat="false" ht="14.25" hidden="false" customHeight="true" outlineLevel="0" collapsed="false">
      <c r="A1819" s="1"/>
      <c r="B1819" s="1" t="s">
        <v>1960</v>
      </c>
      <c r="C1819" s="1" t="n">
        <v>3</v>
      </c>
      <c r="E1819" s="11" t="s">
        <v>112</v>
      </c>
      <c r="F1819" s="11" t="str">
        <f aca="false">IFERROR(__xludf.dummyfunction("GOOGLETRANSLATE(B1819,""en"",""ar"")"),"غاضب")</f>
        <v>غاضب</v>
      </c>
      <c r="G1819" s="3" t="n">
        <v>0</v>
      </c>
      <c r="H1819" s="3" t="n">
        <v>0</v>
      </c>
    </row>
    <row r="1820" customFormat="false" ht="14.25" hidden="false" customHeight="true" outlineLevel="0" collapsed="false">
      <c r="A1820" s="1"/>
      <c r="B1820" s="1" t="s">
        <v>1961</v>
      </c>
      <c r="C1820" s="1" t="n">
        <v>3</v>
      </c>
      <c r="E1820" s="11" t="s">
        <v>79</v>
      </c>
      <c r="F1820" s="11" t="str">
        <f aca="false">IFERROR(__xludf.dummyfunction("GOOGLETRANSLATE(B1820,""en"",""ar"")"),"موعد")</f>
        <v>موعد</v>
      </c>
      <c r="G1820" s="3" t="n">
        <v>0</v>
      </c>
      <c r="H1820" s="3" t="n">
        <v>0</v>
      </c>
    </row>
    <row r="1821" customFormat="false" ht="14.25" hidden="false" customHeight="true" outlineLevel="0" collapsed="false">
      <c r="A1821" s="1"/>
      <c r="B1821" s="1" t="s">
        <v>1962</v>
      </c>
      <c r="C1821" s="1" t="n">
        <v>3</v>
      </c>
      <c r="E1821" s="11" t="s">
        <v>79</v>
      </c>
      <c r="F1821" s="11" t="str">
        <f aca="false">IFERROR(__xludf.dummyfunction("GOOGLETRANSLATE(B1821,""en"",""ar"")"),"وصول")</f>
        <v>وصول</v>
      </c>
      <c r="G1821" s="3" t="n">
        <v>0</v>
      </c>
      <c r="H1821" s="3" t="n">
        <v>0</v>
      </c>
    </row>
    <row r="1822" customFormat="false" ht="14.25" hidden="false" customHeight="true" outlineLevel="0" collapsed="false">
      <c r="A1822" s="1"/>
      <c r="B1822" s="1" t="s">
        <v>1963</v>
      </c>
      <c r="C1822" s="1" t="n">
        <v>3</v>
      </c>
      <c r="E1822" s="11" t="s">
        <v>119</v>
      </c>
      <c r="F1822" s="11" t="str">
        <f aca="false">IFERROR(__xludf.dummyfunction("GOOGLETRANSLATE(B1822,""en"",""ar"")"),"مساعدة")</f>
        <v>مساعدة</v>
      </c>
      <c r="G1822" s="3" t="n">
        <v>0</v>
      </c>
      <c r="H1822" s="3" t="n">
        <v>0</v>
      </c>
    </row>
    <row r="1823" customFormat="false" ht="14.25" hidden="false" customHeight="true" outlineLevel="0" collapsed="false">
      <c r="A1823" s="1"/>
      <c r="B1823" s="1" t="s">
        <v>1964</v>
      </c>
      <c r="C1823" s="1" t="n">
        <v>3</v>
      </c>
      <c r="E1823" s="11" t="s">
        <v>79</v>
      </c>
      <c r="F1823" s="11" t="str">
        <f aca="false">IFERROR(__xludf.dummyfunction("GOOGLETRANSLATE(B1823,""en"",""ar"")"),"افتراض")</f>
        <v>افتراض</v>
      </c>
      <c r="G1823" s="3" t="n">
        <v>0</v>
      </c>
      <c r="H1823" s="3" t="n">
        <v>0</v>
      </c>
    </row>
    <row r="1824" customFormat="false" ht="14.25" hidden="false" customHeight="true" outlineLevel="0" collapsed="false">
      <c r="A1824" s="1"/>
      <c r="B1824" s="1" t="s">
        <v>1965</v>
      </c>
      <c r="C1824" s="1" t="n">
        <v>3</v>
      </c>
      <c r="E1824" s="11" t="s">
        <v>119</v>
      </c>
      <c r="F1824" s="11" t="str">
        <f aca="false">IFERROR(__xludf.dummyfunction("GOOGLETRANSLATE(B1824,""en"",""ar"")"),"خبز")</f>
        <v>خبز</v>
      </c>
      <c r="G1824" s="3" t="n">
        <v>0</v>
      </c>
      <c r="H1824" s="3" t="n">
        <v>0</v>
      </c>
    </row>
    <row r="1825" customFormat="false" ht="14.25" hidden="false" customHeight="true" outlineLevel="0" collapsed="false">
      <c r="A1825" s="1"/>
      <c r="B1825" s="1" t="s">
        <v>1966</v>
      </c>
      <c r="C1825" s="1" t="n">
        <v>3</v>
      </c>
      <c r="E1825" s="11" t="s">
        <v>1967</v>
      </c>
      <c r="F1825" s="11" t="str">
        <f aca="false">IFERROR(__xludf.dummyfunction("GOOGLETRANSLATE(B1825,""en"",""ar"")"),"شريط")</f>
        <v>شريط</v>
      </c>
      <c r="G1825" s="3" t="n">
        <v>0</v>
      </c>
      <c r="H1825" s="3" t="n">
        <v>0</v>
      </c>
    </row>
    <row r="1826" customFormat="false" ht="14.25" hidden="false" customHeight="true" outlineLevel="0" collapsed="false">
      <c r="A1826" s="1"/>
      <c r="B1826" s="1" t="s">
        <v>1968</v>
      </c>
      <c r="C1826" s="1" t="n">
        <v>3</v>
      </c>
      <c r="E1826" s="11" t="s">
        <v>79</v>
      </c>
      <c r="F1826" s="11" t="str">
        <f aca="false">IFERROR(__xludf.dummyfunction("GOOGLETRANSLATE(B1826,""en"",""ar"")"),"البيسبول")</f>
        <v>البيسبول</v>
      </c>
      <c r="G1826" s="3" t="n">
        <v>0</v>
      </c>
      <c r="H1826" s="3" t="n">
        <v>0</v>
      </c>
    </row>
    <row r="1827" customFormat="false" ht="14.25" hidden="false" customHeight="true" outlineLevel="0" collapsed="false">
      <c r="A1827" s="1"/>
      <c r="B1827" s="1" t="s">
        <v>1969</v>
      </c>
      <c r="C1827" s="1" t="n">
        <v>3</v>
      </c>
      <c r="E1827" s="11" t="s">
        <v>119</v>
      </c>
      <c r="F1827" s="11" t="str">
        <f aca="false">IFERROR(__xludf.dummyfunction("GOOGLETRANSLATE(B1827,""en"",""ar"")"),"جرس")</f>
        <v>جرس</v>
      </c>
      <c r="G1827" s="3" t="n">
        <v>0</v>
      </c>
      <c r="H1827" s="3" t="n">
        <v>0</v>
      </c>
    </row>
    <row r="1828" customFormat="false" ht="14.25" hidden="false" customHeight="true" outlineLevel="0" collapsed="false">
      <c r="A1828" s="1"/>
      <c r="B1828" s="1" t="s">
        <v>1970</v>
      </c>
      <c r="C1828" s="1" t="n">
        <v>3</v>
      </c>
      <c r="E1828" s="11" t="s">
        <v>119</v>
      </c>
      <c r="F1828" s="11" t="str">
        <f aca="false">IFERROR(__xludf.dummyfunction("GOOGLETRANSLATE(B1828,""en"",""ar"")"),"دراجة هوائية")</f>
        <v>دراجة هوائية</v>
      </c>
      <c r="G1828" s="3" t="n">
        <v>0</v>
      </c>
      <c r="H1828" s="3" t="n">
        <v>0</v>
      </c>
    </row>
    <row r="1829" customFormat="false" ht="14.25" hidden="false" customHeight="true" outlineLevel="0" collapsed="false">
      <c r="A1829" s="1"/>
      <c r="B1829" s="1" t="s">
        <v>1971</v>
      </c>
      <c r="C1829" s="1" t="n">
        <v>3</v>
      </c>
      <c r="E1829" s="11" t="s">
        <v>119</v>
      </c>
      <c r="F1829" s="11" t="str">
        <f aca="false">IFERROR(__xludf.dummyfunction("GOOGLETRANSLATE(B1829,""en"",""ar"")"),"إلقاء اللوم على")</f>
        <v>إلقاء اللوم على</v>
      </c>
      <c r="G1829" s="3" t="n">
        <v>0</v>
      </c>
      <c r="H1829" s="3" t="n">
        <v>0</v>
      </c>
    </row>
    <row r="1830" customFormat="false" ht="14.25" hidden="false" customHeight="true" outlineLevel="0" collapsed="false">
      <c r="A1830" s="1"/>
      <c r="B1830" s="1" t="s">
        <v>1972</v>
      </c>
      <c r="C1830" s="1" t="n">
        <v>3</v>
      </c>
      <c r="E1830" s="11" t="s">
        <v>1837</v>
      </c>
      <c r="F1830" s="11" t="str">
        <f aca="false">IFERROR(__xludf.dummyfunction("GOOGLETRANSLATE(B1830,""en"",""ar"")"),"صبي")</f>
        <v>صبي</v>
      </c>
      <c r="G1830" s="3" t="n">
        <v>0</v>
      </c>
      <c r="H1830" s="3" t="n">
        <v>0</v>
      </c>
    </row>
    <row r="1831" customFormat="false" ht="14.25" hidden="false" customHeight="true" outlineLevel="0" collapsed="false">
      <c r="A1831" s="1"/>
      <c r="B1831" s="1" t="s">
        <v>1973</v>
      </c>
      <c r="C1831" s="1" t="n">
        <v>3</v>
      </c>
      <c r="E1831" s="11" t="s">
        <v>119</v>
      </c>
      <c r="F1831" s="11" t="str">
        <f aca="false">IFERROR(__xludf.dummyfunction("GOOGLETRANSLATE(B1831,""en"",""ar"")"),"قالب طوب")</f>
        <v>قالب طوب</v>
      </c>
      <c r="G1831" s="3" t="n">
        <v>0</v>
      </c>
      <c r="H1831" s="3" t="n">
        <v>0</v>
      </c>
    </row>
    <row r="1832" customFormat="false" ht="14.25" hidden="false" customHeight="true" outlineLevel="0" collapsed="false">
      <c r="A1832" s="1"/>
      <c r="B1832" s="1" t="s">
        <v>1974</v>
      </c>
      <c r="C1832" s="1" t="n">
        <v>3</v>
      </c>
      <c r="E1832" s="11" t="s">
        <v>12</v>
      </c>
      <c r="F1832" s="11" t="str">
        <f aca="false">IFERROR(__xludf.dummyfunction("GOOGLETRANSLATE(B1832,""en"",""ar"")"),"حساب")</f>
        <v>حساب</v>
      </c>
      <c r="G1832" s="3" t="n">
        <v>0</v>
      </c>
      <c r="H1832" s="3" t="n">
        <v>0</v>
      </c>
    </row>
    <row r="1833" customFormat="false" ht="14.25" hidden="false" customHeight="true" outlineLevel="0" collapsed="false">
      <c r="A1833" s="1"/>
      <c r="B1833" s="1" t="s">
        <v>1975</v>
      </c>
      <c r="C1833" s="1" t="n">
        <v>3</v>
      </c>
      <c r="E1833" s="11" t="s">
        <v>119</v>
      </c>
      <c r="F1833" s="11" t="str">
        <f aca="false">IFERROR(__xludf.dummyfunction("GOOGLETRANSLATE(B1833,""en"",""ar"")"),"كرسي")</f>
        <v>كرسي</v>
      </c>
      <c r="G1833" s="3" t="n">
        <v>0</v>
      </c>
      <c r="H1833" s="3" t="n">
        <v>0</v>
      </c>
    </row>
    <row r="1834" customFormat="false" ht="14.25" hidden="false" customHeight="true" outlineLevel="0" collapsed="false">
      <c r="A1834" s="1"/>
      <c r="B1834" s="1" t="s">
        <v>1976</v>
      </c>
      <c r="C1834" s="1" t="n">
        <v>3</v>
      </c>
      <c r="E1834" s="11" t="s">
        <v>79</v>
      </c>
      <c r="F1834" s="11" t="str">
        <f aca="false">IFERROR(__xludf.dummyfunction("GOOGLETRANSLATE(B1834,""en"",""ar"")"),"الفصل")</f>
        <v>الفصل</v>
      </c>
      <c r="G1834" s="3" t="n">
        <v>0</v>
      </c>
      <c r="H1834" s="3" t="n">
        <v>0</v>
      </c>
    </row>
    <row r="1835" customFormat="false" ht="14.25" hidden="false" customHeight="true" outlineLevel="0" collapsed="false">
      <c r="A1835" s="1"/>
      <c r="B1835" s="1" t="s">
        <v>1977</v>
      </c>
      <c r="C1835" s="1" t="n">
        <v>3</v>
      </c>
      <c r="E1835" s="11" t="s">
        <v>128</v>
      </c>
      <c r="F1835" s="11" t="str">
        <f aca="false">IFERROR(__xludf.dummyfunction("GOOGLETRANSLATE(B1835,""en"",""ar"")"),"خزانة")</f>
        <v>خزانة</v>
      </c>
      <c r="G1835" s="3" t="n">
        <v>0</v>
      </c>
      <c r="H1835" s="3" t="n">
        <v>0</v>
      </c>
    </row>
    <row r="1836" customFormat="false" ht="14.25" hidden="false" customHeight="true" outlineLevel="0" collapsed="false">
      <c r="A1836" s="1"/>
      <c r="B1836" s="1" t="s">
        <v>1978</v>
      </c>
      <c r="C1836" s="1" t="n">
        <v>3</v>
      </c>
      <c r="E1836" s="11" t="s">
        <v>119</v>
      </c>
      <c r="F1836" s="11" t="str">
        <f aca="false">IFERROR(__xludf.dummyfunction("GOOGLETRANSLATE(B1836,""en"",""ar"")"),"فكرة")</f>
        <v>فكرة</v>
      </c>
      <c r="G1836" s="3" t="n">
        <v>0</v>
      </c>
      <c r="H1836" s="3" t="n">
        <v>0</v>
      </c>
    </row>
    <row r="1837" customFormat="false" ht="14.25" hidden="false" customHeight="true" outlineLevel="0" collapsed="false">
      <c r="A1837" s="1"/>
      <c r="B1837" s="1" t="s">
        <v>1979</v>
      </c>
      <c r="C1837" s="1" t="n">
        <v>3</v>
      </c>
      <c r="E1837" s="11" t="s">
        <v>119</v>
      </c>
      <c r="F1837" s="11" t="str">
        <f aca="false">IFERROR(__xludf.dummyfunction("GOOGLETRANSLATE(B1837,""en"",""ar"")"),"طوق")</f>
        <v>طوق</v>
      </c>
      <c r="G1837" s="3" t="n">
        <v>0</v>
      </c>
      <c r="H1837" s="3" t="n">
        <v>0</v>
      </c>
    </row>
    <row r="1838" customFormat="false" ht="14.25" hidden="false" customHeight="true" outlineLevel="0" collapsed="false">
      <c r="A1838" s="1"/>
      <c r="B1838" s="1" t="s">
        <v>1980</v>
      </c>
      <c r="C1838" s="1" t="n">
        <v>3</v>
      </c>
      <c r="E1838" s="11" t="s">
        <v>119</v>
      </c>
      <c r="F1838" s="11" t="str">
        <f aca="false">IFERROR(__xludf.dummyfunction("GOOGLETRANSLATE(B1838,""en"",""ar"")"),"تعليق")</f>
        <v>تعليق</v>
      </c>
      <c r="G1838" s="3" t="n">
        <v>0</v>
      </c>
      <c r="H1838" s="3" t="n">
        <v>0</v>
      </c>
    </row>
    <row r="1839" customFormat="false" ht="14.25" hidden="false" customHeight="true" outlineLevel="0" collapsed="false">
      <c r="A1839" s="1"/>
      <c r="B1839" s="1" t="s">
        <v>1981</v>
      </c>
      <c r="C1839" s="1" t="n">
        <v>3</v>
      </c>
      <c r="E1839" s="11" t="s">
        <v>79</v>
      </c>
      <c r="F1839" s="11" t="str">
        <f aca="false">IFERROR(__xludf.dummyfunction("GOOGLETRANSLATE(B1839,""en"",""ar"")"),"لجنة")</f>
        <v>لجنة</v>
      </c>
      <c r="G1839" s="3" t="n">
        <v>0</v>
      </c>
      <c r="H1839" s="3" t="n">
        <v>0</v>
      </c>
    </row>
    <row r="1840" customFormat="false" ht="14.25" hidden="false" customHeight="true" outlineLevel="0" collapsed="false">
      <c r="A1840" s="1"/>
      <c r="B1840" s="1" t="s">
        <v>1982</v>
      </c>
      <c r="C1840" s="1" t="n">
        <v>3</v>
      </c>
      <c r="E1840" s="11" t="s">
        <v>12</v>
      </c>
      <c r="F1840" s="11" t="str">
        <f aca="false">IFERROR(__xludf.dummyfunction("GOOGLETRANSLATE(B1840,""en"",""ar"")"),"تنافس")</f>
        <v>تنافس</v>
      </c>
      <c r="G1840" s="3" t="n">
        <v>0</v>
      </c>
      <c r="H1840" s="3" t="n">
        <v>0</v>
      </c>
    </row>
    <row r="1841" customFormat="false" ht="14.25" hidden="false" customHeight="true" outlineLevel="0" collapsed="false">
      <c r="A1841" s="1"/>
      <c r="B1841" s="1" t="s">
        <v>1983</v>
      </c>
      <c r="C1841" s="1" t="n">
        <v>3</v>
      </c>
      <c r="E1841" s="11" t="s">
        <v>32</v>
      </c>
      <c r="F1841" s="11" t="str">
        <f aca="false">IFERROR(__xludf.dummyfunction("GOOGLETRANSLATE(B1841,""en"",""ar"")"),"بخصوص")</f>
        <v>بخصوص</v>
      </c>
      <c r="G1841" s="3" t="n">
        <v>0</v>
      </c>
      <c r="H1841" s="3" t="n">
        <v>0</v>
      </c>
    </row>
    <row r="1842" customFormat="false" ht="14.25" hidden="false" customHeight="true" outlineLevel="0" collapsed="false">
      <c r="A1842" s="1"/>
      <c r="B1842" s="1" t="s">
        <v>1984</v>
      </c>
      <c r="C1842" s="1" t="n">
        <v>3</v>
      </c>
      <c r="E1842" s="11" t="s">
        <v>119</v>
      </c>
      <c r="F1842" s="11" t="str">
        <f aca="false">IFERROR(__xludf.dummyfunction("GOOGLETRANSLATE(B1842,""en"",""ar"")"),"مؤتمر")</f>
        <v>مؤتمر</v>
      </c>
      <c r="G1842" s="3" t="n">
        <v>0</v>
      </c>
      <c r="H1842" s="3" t="n">
        <v>0</v>
      </c>
    </row>
    <row r="1843" customFormat="false" ht="14.25" hidden="false" customHeight="true" outlineLevel="0" collapsed="false">
      <c r="A1843" s="1"/>
      <c r="B1843" s="1" t="s">
        <v>1985</v>
      </c>
      <c r="C1843" s="1" t="n">
        <v>3</v>
      </c>
      <c r="E1843" s="11" t="s">
        <v>12</v>
      </c>
      <c r="F1843" s="11" t="str">
        <f aca="false">IFERROR(__xludf.dummyfunction("GOOGLETRANSLATE(B1843,""en"",""ar"")"),"شاور")</f>
        <v>شاور</v>
      </c>
      <c r="G1843" s="3" t="n">
        <v>0</v>
      </c>
      <c r="H1843" s="3" t="n">
        <v>0</v>
      </c>
    </row>
    <row r="1844" customFormat="false" ht="14.25" hidden="false" customHeight="true" outlineLevel="0" collapsed="false">
      <c r="A1844" s="1"/>
      <c r="B1844" s="1" t="s">
        <v>1986</v>
      </c>
      <c r="C1844" s="1" t="n">
        <v>3</v>
      </c>
      <c r="E1844" s="11" t="s">
        <v>79</v>
      </c>
      <c r="F1844" s="11" t="str">
        <f aca="false">IFERROR(__xludf.dummyfunction("GOOGLETRANSLATE(B1844,""en"",""ar"")"),"محادثة")</f>
        <v>محادثة</v>
      </c>
      <c r="G1844" s="3" t="n">
        <v>0</v>
      </c>
      <c r="H1844" s="3" t="n">
        <v>0</v>
      </c>
    </row>
    <row r="1845" customFormat="false" ht="14.25" hidden="false" customHeight="true" outlineLevel="0" collapsed="false">
      <c r="A1845" s="1"/>
      <c r="B1845" s="1" t="s">
        <v>1987</v>
      </c>
      <c r="C1845" s="1" t="n">
        <v>3</v>
      </c>
      <c r="E1845" s="11" t="s">
        <v>94</v>
      </c>
      <c r="F1845" s="11" t="str">
        <f aca="false">IFERROR(__xludf.dummyfunction("GOOGLETRANSLATE(B1845,""en"",""ar"")"),"يتحول")</f>
        <v>يتحول</v>
      </c>
      <c r="G1845" s="3" t="n">
        <v>0</v>
      </c>
      <c r="H1845" s="3" t="n">
        <v>0</v>
      </c>
    </row>
    <row r="1846" customFormat="false" ht="14.25" hidden="false" customHeight="true" outlineLevel="0" collapsed="false">
      <c r="A1846" s="1"/>
      <c r="B1846" s="1" t="s">
        <v>1988</v>
      </c>
      <c r="C1846" s="1" t="n">
        <v>3</v>
      </c>
      <c r="E1846" s="11" t="s">
        <v>1285</v>
      </c>
      <c r="F1846" s="11" t="str">
        <f aca="false">IFERROR(__xludf.dummyfunction("GOOGLETRANSLATE(B1846,""en"",""ar"")"),"يصطدم")</f>
        <v>يصطدم</v>
      </c>
      <c r="G1846" s="3" t="n">
        <v>0</v>
      </c>
      <c r="H1846" s="3" t="n">
        <v>0</v>
      </c>
    </row>
    <row r="1847" customFormat="false" ht="14.25" hidden="false" customHeight="true" outlineLevel="0" collapsed="false">
      <c r="A1847" s="1"/>
      <c r="B1847" s="1" t="s">
        <v>1989</v>
      </c>
      <c r="C1847" s="1" t="n">
        <v>3</v>
      </c>
      <c r="E1847" s="11" t="s">
        <v>79</v>
      </c>
      <c r="F1847" s="11" t="str">
        <f aca="false">IFERROR(__xludf.dummyfunction("GOOGLETRANSLATE(B1847,""en"",""ar"")"),"قاعدة البيانات")</f>
        <v>قاعدة البيانات</v>
      </c>
      <c r="G1847" s="3" t="n">
        <v>0</v>
      </c>
      <c r="H1847" s="3" t="n">
        <v>0</v>
      </c>
    </row>
    <row r="1848" customFormat="false" ht="14.25" hidden="false" customHeight="true" outlineLevel="0" collapsed="false">
      <c r="A1848" s="1"/>
      <c r="B1848" s="1" t="s">
        <v>1990</v>
      </c>
      <c r="C1848" s="1" t="n">
        <v>3</v>
      </c>
      <c r="E1848" s="11" t="s">
        <v>12</v>
      </c>
      <c r="F1848" s="11" t="str">
        <f aca="false">IFERROR(__xludf.dummyfunction("GOOGLETRANSLATE(B1848,""en"",""ar"")"),"ايصال")</f>
        <v>ايصال</v>
      </c>
      <c r="G1848" s="3" t="n">
        <v>0</v>
      </c>
      <c r="H1848" s="3" t="n">
        <v>0</v>
      </c>
    </row>
    <row r="1849" customFormat="false" ht="14.25" hidden="false" customHeight="true" outlineLevel="0" collapsed="false">
      <c r="A1849" s="1"/>
      <c r="B1849" s="1" t="s">
        <v>1991</v>
      </c>
      <c r="C1849" s="1" t="n">
        <v>3</v>
      </c>
      <c r="E1849" s="11" t="s">
        <v>235</v>
      </c>
      <c r="F1849" s="11" t="str">
        <f aca="false">IFERROR(__xludf.dummyfunction("GOOGLETRANSLATE(B1849,""en"",""ar"")"),"متكل")</f>
        <v>متكل</v>
      </c>
      <c r="G1849" s="3" t="n">
        <v>0</v>
      </c>
      <c r="H1849" s="3" t="n">
        <v>0</v>
      </c>
    </row>
    <row r="1850" customFormat="false" ht="14.25" hidden="false" customHeight="true" outlineLevel="0" collapsed="false">
      <c r="A1850" s="1"/>
      <c r="B1850" s="1" t="s">
        <v>1992</v>
      </c>
      <c r="C1850" s="1" t="n">
        <v>3</v>
      </c>
      <c r="E1850" s="11" t="s">
        <v>112</v>
      </c>
      <c r="F1850" s="11" t="str">
        <f aca="false">IFERROR(__xludf.dummyfunction("GOOGLETRANSLATE(B1850,""en"",""ar"")"),"متحرق إلى")</f>
        <v>متحرق إلى</v>
      </c>
      <c r="G1850" s="3" t="n">
        <v>0</v>
      </c>
      <c r="H1850" s="3" t="n">
        <v>0</v>
      </c>
    </row>
    <row r="1851" customFormat="false" ht="14.25" hidden="false" customHeight="true" outlineLevel="0" collapsed="false">
      <c r="A1851" s="1"/>
      <c r="B1851" s="1" t="s">
        <v>1993</v>
      </c>
      <c r="C1851" s="1" t="n">
        <v>3</v>
      </c>
      <c r="E1851" s="11" t="s">
        <v>119</v>
      </c>
      <c r="F1851" s="11" t="str">
        <f aca="false">IFERROR(__xludf.dummyfunction("GOOGLETRANSLATE(B1851,""en"",""ar"")"),"شيطان")</f>
        <v>شيطان</v>
      </c>
      <c r="G1851" s="3" t="n">
        <v>0</v>
      </c>
      <c r="H1851" s="3" t="n">
        <v>0</v>
      </c>
    </row>
    <row r="1852" customFormat="false" ht="14.25" hidden="false" customHeight="true" outlineLevel="0" collapsed="false">
      <c r="A1852" s="1"/>
      <c r="B1852" s="1" t="s">
        <v>1994</v>
      </c>
      <c r="C1852" s="1" t="n">
        <v>3</v>
      </c>
      <c r="E1852" s="11" t="s">
        <v>119</v>
      </c>
      <c r="F1852" s="11" t="str">
        <f aca="false">IFERROR(__xludf.dummyfunction("GOOGLETRANSLATE(B1852,""en"",""ar"")"),"حمية")</f>
        <v>حمية</v>
      </c>
      <c r="G1852" s="3" t="n">
        <v>0</v>
      </c>
      <c r="H1852" s="3" t="n">
        <v>0</v>
      </c>
    </row>
    <row r="1853" customFormat="false" ht="14.25" hidden="false" customHeight="true" outlineLevel="0" collapsed="false">
      <c r="A1853" s="1"/>
      <c r="B1853" s="1" t="s">
        <v>1995</v>
      </c>
      <c r="C1853" s="1" t="n">
        <v>3</v>
      </c>
      <c r="E1853" s="11" t="s">
        <v>79</v>
      </c>
      <c r="F1853" s="11" t="str">
        <f aca="false">IFERROR(__xludf.dummyfunction("GOOGLETRANSLATE(B1853,""en"",""ar"")"),"حماس")</f>
        <v>حماس</v>
      </c>
      <c r="G1853" s="3" t="n">
        <v>0</v>
      </c>
      <c r="H1853" s="3" t="n">
        <v>0</v>
      </c>
    </row>
    <row r="1854" customFormat="false" ht="14.25" hidden="false" customHeight="true" outlineLevel="0" collapsed="false">
      <c r="A1854" s="1"/>
      <c r="B1854" s="1" t="s">
        <v>1996</v>
      </c>
      <c r="C1854" s="1" t="n">
        <v>3</v>
      </c>
      <c r="E1854" s="11" t="s">
        <v>79</v>
      </c>
      <c r="F1854" s="11" t="str">
        <f aca="false">IFERROR(__xludf.dummyfunction("GOOGLETRANSLATE(B1854,""en"",""ar"")"),"خطأ")</f>
        <v>خطأ</v>
      </c>
      <c r="G1854" s="3" t="n">
        <v>0</v>
      </c>
      <c r="H1854" s="3" t="n">
        <v>0</v>
      </c>
    </row>
    <row r="1855" customFormat="false" ht="14.25" hidden="false" customHeight="true" outlineLevel="0" collapsed="false">
      <c r="A1855" s="1"/>
      <c r="B1855" s="1" t="s">
        <v>1997</v>
      </c>
      <c r="C1855" s="1" t="n">
        <v>3</v>
      </c>
      <c r="E1855" s="11" t="s">
        <v>112</v>
      </c>
      <c r="F1855" s="11" t="str">
        <f aca="false">IFERROR(__xludf.dummyfunction("GOOGLETRANSLATE(B1855,""en"",""ar"")"),"مثير")</f>
        <v>مثير</v>
      </c>
      <c r="G1855" s="3" t="n">
        <v>0</v>
      </c>
      <c r="H1855" s="3" t="n">
        <v>0</v>
      </c>
    </row>
    <row r="1856" customFormat="false" ht="14.25" hidden="false" customHeight="true" outlineLevel="0" collapsed="false">
      <c r="A1856" s="1"/>
      <c r="B1856" s="1" t="s">
        <v>1998</v>
      </c>
      <c r="C1856" s="1" t="n">
        <v>3</v>
      </c>
      <c r="E1856" s="11" t="s">
        <v>79</v>
      </c>
      <c r="F1856" s="11" t="str">
        <f aca="false">IFERROR(__xludf.dummyfunction("GOOGLETRANSLATE(B1856,""en"",""ar"")"),"تفسير")</f>
        <v>تفسير</v>
      </c>
      <c r="G1856" s="3" t="n">
        <v>0</v>
      </c>
      <c r="H1856" s="3" t="n">
        <v>0</v>
      </c>
    </row>
    <row r="1857" customFormat="false" ht="14.25" hidden="false" customHeight="true" outlineLevel="0" collapsed="false">
      <c r="A1857" s="1"/>
      <c r="B1857" s="1" t="s">
        <v>1999</v>
      </c>
      <c r="C1857" s="1" t="n">
        <v>3</v>
      </c>
      <c r="E1857" s="11" t="s">
        <v>12</v>
      </c>
      <c r="F1857" s="11" t="str">
        <f aca="false">IFERROR(__xludf.dummyfunction("GOOGLETRANSLATE(B1857,""en"",""ar"")"),"يمتد")</f>
        <v>يمتد</v>
      </c>
      <c r="G1857" s="3" t="n">
        <v>0</v>
      </c>
      <c r="H1857" s="3" t="n">
        <v>0</v>
      </c>
    </row>
    <row r="1858" customFormat="false" ht="14.25" hidden="false" customHeight="true" outlineLevel="0" collapsed="false">
      <c r="A1858" s="1"/>
      <c r="B1858" s="1" t="s">
        <v>2000</v>
      </c>
      <c r="C1858" s="1" t="n">
        <v>3</v>
      </c>
      <c r="E1858" s="11" t="s">
        <v>79</v>
      </c>
      <c r="F1858" s="11" t="str">
        <f aca="false">IFERROR(__xludf.dummyfunction("GOOGLETRANSLATE(B1858,""en"",""ar"")"),"مزارع")</f>
        <v>مزارع</v>
      </c>
      <c r="G1858" s="3" t="n">
        <v>0</v>
      </c>
      <c r="H1858" s="3" t="n">
        <v>0</v>
      </c>
    </row>
    <row r="1859" customFormat="false" ht="14.25" hidden="false" customHeight="true" outlineLevel="0" collapsed="false">
      <c r="A1859" s="1"/>
      <c r="B1859" s="1" t="s">
        <v>2001</v>
      </c>
      <c r="C1859" s="1" t="n">
        <v>3</v>
      </c>
      <c r="E1859" s="11" t="s">
        <v>119</v>
      </c>
      <c r="F1859" s="11" t="str">
        <f aca="false">IFERROR(__xludf.dummyfunction("GOOGLETRANSLATE(B1859,""en"",""ar"")"),"يخاف")</f>
        <v>يخاف</v>
      </c>
      <c r="G1859" s="3" t="n">
        <v>0</v>
      </c>
      <c r="H1859" s="3" t="n">
        <v>0</v>
      </c>
    </row>
    <row r="1860" customFormat="false" ht="14.25" hidden="false" customHeight="true" outlineLevel="0" collapsed="false">
      <c r="A1860" s="1"/>
      <c r="B1860" s="1" t="s">
        <v>2002</v>
      </c>
      <c r="C1860" s="1" t="n">
        <v>3</v>
      </c>
      <c r="E1860" s="11" t="s">
        <v>94</v>
      </c>
      <c r="F1860" s="11" t="str">
        <f aca="false">IFERROR(__xludf.dummyfunction("GOOGLETRANSLATE(B1860,""en"",""ar"")"),"يطوى")</f>
        <v>يطوى</v>
      </c>
      <c r="G1860" s="3" t="n">
        <v>0</v>
      </c>
      <c r="H1860" s="3" t="n">
        <v>0</v>
      </c>
    </row>
    <row r="1861" customFormat="false" ht="14.25" hidden="false" customHeight="true" outlineLevel="0" collapsed="false">
      <c r="A1861" s="1"/>
      <c r="B1861" s="1" t="s">
        <v>2003</v>
      </c>
      <c r="C1861" s="1" t="n">
        <v>3</v>
      </c>
      <c r="E1861" s="11" t="s">
        <v>42</v>
      </c>
      <c r="F1861" s="11" t="str">
        <f aca="false">IFERROR(__xludf.dummyfunction("GOOGLETRANSLATE(B1861,""en"",""ar"")"),"عليها")</f>
        <v>عليها</v>
      </c>
      <c r="G1861" s="3" t="n">
        <v>0</v>
      </c>
      <c r="H1861" s="3" t="n">
        <v>0</v>
      </c>
    </row>
    <row r="1862" customFormat="false" ht="14.25" hidden="false" customHeight="true" outlineLevel="0" collapsed="false">
      <c r="A1862" s="1"/>
      <c r="B1862" s="1" t="s">
        <v>2004</v>
      </c>
      <c r="C1862" s="1" t="n">
        <v>3</v>
      </c>
      <c r="E1862" s="11" t="s">
        <v>112</v>
      </c>
      <c r="F1862" s="11" t="str">
        <f aca="false">IFERROR(__xludf.dummyfunction("GOOGLETRANSLATE(B1862,""en"",""ar"")"),"ودود")</f>
        <v>ودود</v>
      </c>
      <c r="G1862" s="3" t="n">
        <v>0</v>
      </c>
      <c r="H1862" s="3" t="n">
        <v>0</v>
      </c>
    </row>
    <row r="1863" customFormat="false" ht="14.25" hidden="false" customHeight="true" outlineLevel="0" collapsed="false">
      <c r="A1863" s="1"/>
      <c r="B1863" s="1" t="s">
        <v>2005</v>
      </c>
      <c r="C1863" s="1" t="n">
        <v>3</v>
      </c>
      <c r="E1863" s="11" t="s">
        <v>119</v>
      </c>
      <c r="F1863" s="11" t="str">
        <f aca="false">IFERROR(__xludf.dummyfunction("GOOGLETRANSLATE(B1863,""en"",""ar"")"),"وقود")</f>
        <v>وقود</v>
      </c>
      <c r="G1863" s="3" t="n">
        <v>0</v>
      </c>
      <c r="H1863" s="3" t="n">
        <v>0</v>
      </c>
    </row>
    <row r="1864" customFormat="false" ht="14.25" hidden="false" customHeight="true" outlineLevel="0" collapsed="false">
      <c r="A1864" s="1"/>
      <c r="B1864" s="1" t="s">
        <v>2006</v>
      </c>
      <c r="C1864" s="1" t="n">
        <v>3</v>
      </c>
      <c r="E1864" s="11" t="s">
        <v>235</v>
      </c>
      <c r="F1864" s="11" t="str">
        <f aca="false">IFERROR(__xludf.dummyfunction("GOOGLETRANSLATE(B1864,""en"",""ar"")"),"مضحك")</f>
        <v>مضحك</v>
      </c>
      <c r="G1864" s="3" t="n">
        <v>0</v>
      </c>
      <c r="H1864" s="3" t="n">
        <v>0</v>
      </c>
    </row>
    <row r="1865" customFormat="false" ht="14.25" hidden="false" customHeight="true" outlineLevel="0" collapsed="false">
      <c r="A1865" s="1"/>
      <c r="B1865" s="1" t="s">
        <v>2007</v>
      </c>
      <c r="C1865" s="1" t="n">
        <v>3</v>
      </c>
      <c r="E1865" s="11" t="s">
        <v>79</v>
      </c>
      <c r="F1865" s="11" t="str">
        <f aca="false">IFERROR(__xludf.dummyfunction("GOOGLETRANSLATE(B1865,""en"",""ar"")"),"بوابة")</f>
        <v>بوابة</v>
      </c>
      <c r="G1865" s="3" t="n">
        <v>0</v>
      </c>
      <c r="H1865" s="3" t="n">
        <v>0</v>
      </c>
    </row>
    <row r="1866" customFormat="false" ht="14.25" hidden="false" customHeight="true" outlineLevel="0" collapsed="false">
      <c r="A1866" s="1"/>
      <c r="B1866" s="1" t="s">
        <v>2008</v>
      </c>
      <c r="C1866" s="1" t="n">
        <v>3</v>
      </c>
      <c r="E1866" s="11" t="s">
        <v>79</v>
      </c>
      <c r="F1866" s="11" t="str">
        <f aca="false">IFERROR(__xludf.dummyfunction("GOOGLETRANSLATE(B1866,""en"",""ar"")"),"فتاة")</f>
        <v>فتاة</v>
      </c>
      <c r="G1866" s="3" t="n">
        <v>0</v>
      </c>
      <c r="H1866" s="3" t="n">
        <v>0</v>
      </c>
    </row>
    <row r="1867" customFormat="false" ht="14.25" hidden="false" customHeight="true" outlineLevel="0" collapsed="false">
      <c r="A1867" s="1"/>
      <c r="B1867" s="1" t="s">
        <v>2009</v>
      </c>
      <c r="C1867" s="1" t="n">
        <v>3</v>
      </c>
      <c r="E1867" s="11" t="s">
        <v>119</v>
      </c>
      <c r="F1867" s="11" t="str">
        <f aca="false">IFERROR(__xludf.dummyfunction("GOOGLETRANSLATE(B1867,""en"",""ar"")"),"قفاز")</f>
        <v>قفاز</v>
      </c>
      <c r="G1867" s="3" t="n">
        <v>0</v>
      </c>
      <c r="H1867" s="3" t="n">
        <v>0</v>
      </c>
    </row>
    <row r="1868" customFormat="false" ht="14.25" hidden="false" customHeight="true" outlineLevel="0" collapsed="false">
      <c r="A1868" s="1"/>
      <c r="B1868" s="1" t="s">
        <v>2010</v>
      </c>
      <c r="C1868" s="1" t="n">
        <v>3</v>
      </c>
      <c r="E1868" s="11" t="s">
        <v>94</v>
      </c>
      <c r="F1868" s="11" t="str">
        <f aca="false">IFERROR(__xludf.dummyfunction("GOOGLETRANSLATE(B1868,""en"",""ar"")"),"إختطاف")</f>
        <v>إختطاف</v>
      </c>
      <c r="G1868" s="3" t="n">
        <v>0</v>
      </c>
      <c r="H1868" s="3" t="n">
        <v>0</v>
      </c>
    </row>
    <row r="1869" customFormat="false" ht="14.25" hidden="false" customHeight="true" outlineLevel="0" collapsed="false">
      <c r="A1869" s="1"/>
      <c r="B1869" s="1" t="s">
        <v>2011</v>
      </c>
      <c r="C1869" s="1" t="n">
        <v>3</v>
      </c>
      <c r="E1869" s="11" t="s">
        <v>648</v>
      </c>
      <c r="F1869" s="11" t="str">
        <f aca="false">IFERROR(__xludf.dummyfunction("GOOGLETRANSLATE(B1869,""en"",""ar"")"),"أزداد")</f>
        <v>أزداد</v>
      </c>
      <c r="G1869" s="3" t="n">
        <v>0</v>
      </c>
      <c r="H1869" s="3" t="n">
        <v>0</v>
      </c>
    </row>
    <row r="1870" customFormat="false" ht="14.25" hidden="false" customHeight="true" outlineLevel="0" collapsed="false">
      <c r="A1870" s="1"/>
      <c r="B1870" s="1" t="s">
        <v>2012</v>
      </c>
      <c r="C1870" s="1" t="n">
        <v>3</v>
      </c>
      <c r="E1870" s="11" t="s">
        <v>79</v>
      </c>
      <c r="F1870" s="11" t="str">
        <f aca="false">IFERROR(__xludf.dummyfunction("GOOGLETRANSLATE(B1870,""en"",""ar"")"),"قاعة")</f>
        <v>قاعة</v>
      </c>
      <c r="G1870" s="3" t="n">
        <v>0</v>
      </c>
      <c r="H1870" s="3" t="n">
        <v>0</v>
      </c>
    </row>
    <row r="1871" customFormat="false" ht="14.25" hidden="false" customHeight="true" outlineLevel="0" collapsed="false">
      <c r="A1871" s="1"/>
      <c r="B1871" s="1" t="s">
        <v>2013</v>
      </c>
      <c r="C1871" s="1" t="n">
        <v>3</v>
      </c>
      <c r="E1871" s="11" t="s">
        <v>30</v>
      </c>
      <c r="F1871" s="11" t="str">
        <f aca="false">IFERROR(__xludf.dummyfunction("GOOGLETRANSLATE(B1871,""en"",""ar"")"),"نفسها")</f>
        <v>نفسها</v>
      </c>
      <c r="G1871" s="3" t="n">
        <v>0</v>
      </c>
      <c r="H1871" s="3" t="n">
        <v>0</v>
      </c>
    </row>
    <row r="1872" customFormat="false" ht="14.25" hidden="false" customHeight="true" outlineLevel="0" collapsed="false">
      <c r="A1872" s="1"/>
      <c r="B1872" s="1" t="s">
        <v>2014</v>
      </c>
      <c r="C1872" s="1" t="n">
        <v>3</v>
      </c>
      <c r="E1872" s="11" t="s">
        <v>94</v>
      </c>
      <c r="F1872" s="11" t="str">
        <f aca="false">IFERROR(__xludf.dummyfunction("GOOGLETRANSLATE(B1872,""en"",""ar"")"),"يخفي")</f>
        <v>يخفي</v>
      </c>
      <c r="G1872" s="3" t="n">
        <v>0</v>
      </c>
      <c r="H1872" s="3" t="n">
        <v>0</v>
      </c>
    </row>
    <row r="1873" customFormat="false" ht="14.25" hidden="false" customHeight="true" outlineLevel="0" collapsed="false">
      <c r="A1873" s="1"/>
      <c r="B1873" s="1" t="s">
        <v>2015</v>
      </c>
      <c r="C1873" s="1" t="n">
        <v>3</v>
      </c>
      <c r="E1873" s="11" t="s">
        <v>79</v>
      </c>
      <c r="F1873" s="11" t="str">
        <f aca="false">IFERROR(__xludf.dummyfunction("GOOGLETRANSLATE(B1873,""en"",""ar"")"),"مؤرخ")</f>
        <v>مؤرخ</v>
      </c>
      <c r="G1873" s="3" t="n">
        <v>0</v>
      </c>
      <c r="H1873" s="3" t="n">
        <v>0</v>
      </c>
    </row>
    <row r="1874" customFormat="false" ht="14.25" hidden="false" customHeight="true" outlineLevel="0" collapsed="false">
      <c r="A1874" s="1"/>
      <c r="B1874" s="1" t="s">
        <v>2016</v>
      </c>
      <c r="C1874" s="1" t="n">
        <v>3</v>
      </c>
      <c r="E1874" s="11" t="s">
        <v>79</v>
      </c>
      <c r="F1874" s="11" t="str">
        <f aca="false">IFERROR(__xludf.dummyfunction("GOOGLETRANSLATE(B1874,""en"",""ar"")"),"مستشفى")</f>
        <v>مستشفى</v>
      </c>
      <c r="G1874" s="3" t="n">
        <v>0</v>
      </c>
      <c r="H1874" s="3" t="n">
        <v>0</v>
      </c>
    </row>
    <row r="1875" customFormat="false" ht="14.25" hidden="false" customHeight="true" outlineLevel="0" collapsed="false">
      <c r="A1875" s="1"/>
      <c r="B1875" s="1" t="s">
        <v>2017</v>
      </c>
      <c r="C1875" s="1" t="n">
        <v>3</v>
      </c>
      <c r="E1875" s="11" t="s">
        <v>336</v>
      </c>
      <c r="F1875" s="11" t="str">
        <f aca="false">IFERROR(__xludf.dummyfunction("GOOGLETRANSLATE(B1875,""en"",""ar"")"),"سوف")</f>
        <v>سوف</v>
      </c>
      <c r="G1875" s="3" t="n">
        <v>0</v>
      </c>
      <c r="H1875" s="3" t="n">
        <v>0</v>
      </c>
    </row>
    <row r="1876" customFormat="false" ht="14.25" hidden="false" customHeight="true" outlineLevel="0" collapsed="false">
      <c r="A1876" s="1"/>
      <c r="B1876" s="1" t="s">
        <v>2018</v>
      </c>
      <c r="C1876" s="1" t="n">
        <v>3</v>
      </c>
      <c r="E1876" s="11" t="s">
        <v>79</v>
      </c>
      <c r="F1876" s="11" t="str">
        <f aca="false">IFERROR(__xludf.dummyfunction("GOOGLETRANSLATE(B1876,""en"",""ar"")"),"إصابة")</f>
        <v>إصابة</v>
      </c>
      <c r="G1876" s="3" t="n">
        <v>0</v>
      </c>
      <c r="H1876" s="3" t="n">
        <v>0</v>
      </c>
    </row>
    <row r="1877" customFormat="false" ht="14.25" hidden="false" customHeight="true" outlineLevel="0" collapsed="false">
      <c r="A1877" s="1"/>
      <c r="B1877" s="1" t="s">
        <v>2019</v>
      </c>
      <c r="C1877" s="1" t="n">
        <v>3</v>
      </c>
      <c r="E1877" s="11" t="s">
        <v>79</v>
      </c>
      <c r="F1877" s="11" t="str">
        <f aca="false">IFERROR(__xludf.dummyfunction("GOOGLETRANSLATE(B1877,""en"",""ar"")"),"تعليمات")</f>
        <v>تعليمات</v>
      </c>
      <c r="G1877" s="3" t="n">
        <v>0</v>
      </c>
      <c r="H1877" s="3" t="n">
        <v>0</v>
      </c>
    </row>
    <row r="1878" customFormat="false" ht="14.25" hidden="false" customHeight="true" outlineLevel="0" collapsed="false">
      <c r="A1878" s="1"/>
      <c r="B1878" s="1" t="s">
        <v>2020</v>
      </c>
      <c r="C1878" s="1" t="n">
        <v>3</v>
      </c>
      <c r="E1878" s="11" t="s">
        <v>12</v>
      </c>
      <c r="F1878" s="11" t="str">
        <f aca="false">IFERROR(__xludf.dummyfunction("GOOGLETRANSLATE(B1878,""en"",""ar"")"),"التحقيق")</f>
        <v>التحقيق</v>
      </c>
      <c r="G1878" s="3" t="n">
        <v>0</v>
      </c>
      <c r="H1878" s="3" t="n">
        <v>0</v>
      </c>
    </row>
    <row r="1879" customFormat="false" ht="14.25" hidden="false" customHeight="true" outlineLevel="0" collapsed="false">
      <c r="A1879" s="1"/>
      <c r="B1879" s="1" t="s">
        <v>2021</v>
      </c>
      <c r="C1879" s="1" t="n">
        <v>3</v>
      </c>
      <c r="E1879" s="11" t="s">
        <v>119</v>
      </c>
      <c r="F1879" s="11" t="str">
        <f aca="false">IFERROR(__xludf.dummyfunction("GOOGLETRANSLATE(B1879,""en"",""ar"")"),"السترة")</f>
        <v>السترة</v>
      </c>
      <c r="G1879" s="3" t="n">
        <v>0</v>
      </c>
      <c r="H1879" s="3" t="n">
        <v>0</v>
      </c>
    </row>
    <row r="1880" customFormat="false" ht="14.25" hidden="false" customHeight="true" outlineLevel="0" collapsed="false">
      <c r="A1880" s="1"/>
      <c r="B1880" s="1" t="s">
        <v>2022</v>
      </c>
      <c r="C1880" s="1" t="n">
        <v>3</v>
      </c>
      <c r="E1880" s="11" t="s">
        <v>112</v>
      </c>
      <c r="F1880" s="11" t="str">
        <f aca="false">IFERROR(__xludf.dummyfunction("GOOGLETRANSLATE(B1880,""en"",""ar"")"),"محظوظ")</f>
        <v>محظوظ</v>
      </c>
      <c r="G1880" s="3" t="n">
        <v>0</v>
      </c>
      <c r="H1880" s="3" t="n">
        <v>0</v>
      </c>
    </row>
    <row r="1881" customFormat="false" ht="14.25" hidden="false" customHeight="true" outlineLevel="0" collapsed="false">
      <c r="A1881" s="1"/>
      <c r="B1881" s="1" t="s">
        <v>2023</v>
      </c>
      <c r="C1881" s="1" t="n">
        <v>3</v>
      </c>
      <c r="E1881" s="11" t="s">
        <v>119</v>
      </c>
      <c r="F1881" s="11" t="str">
        <f aca="false">IFERROR(__xludf.dummyfunction("GOOGLETRANSLATE(B1881,""en"",""ar"")"),"غداء")</f>
        <v>غداء</v>
      </c>
      <c r="G1881" s="3" t="n">
        <v>0</v>
      </c>
      <c r="H1881" s="3" t="n">
        <v>0</v>
      </c>
    </row>
    <row r="1882" customFormat="false" ht="14.25" hidden="false" customHeight="true" outlineLevel="0" collapsed="false">
      <c r="A1882" s="1"/>
      <c r="B1882" s="1" t="s">
        <v>2024</v>
      </c>
      <c r="C1882" s="1" t="n">
        <v>3</v>
      </c>
      <c r="E1882" s="11" t="s">
        <v>79</v>
      </c>
      <c r="F1882" s="11" t="str">
        <f aca="false">IFERROR(__xludf.dummyfunction("GOOGLETRANSLATE(B1882,""en"",""ar"")"),"اعمال صيانة")</f>
        <v>اعمال صيانة</v>
      </c>
      <c r="G1882" s="3" t="n">
        <v>0</v>
      </c>
      <c r="H1882" s="3" t="n">
        <v>0</v>
      </c>
    </row>
    <row r="1883" customFormat="false" ht="14.25" hidden="false" customHeight="true" outlineLevel="0" collapsed="false">
      <c r="A1883" s="1"/>
      <c r="B1883" s="1" t="s">
        <v>2025</v>
      </c>
      <c r="C1883" s="1" t="n">
        <v>3</v>
      </c>
      <c r="E1883" s="11" t="s">
        <v>79</v>
      </c>
      <c r="F1883" s="11" t="str">
        <f aca="false">IFERROR(__xludf.dummyfunction("GOOGLETRANSLATE(B1883,""en"",""ar"")"),"الصانع")</f>
        <v>الصانع</v>
      </c>
      <c r="G1883" s="3" t="n">
        <v>0</v>
      </c>
      <c r="H1883" s="3" t="n">
        <v>0</v>
      </c>
    </row>
    <row r="1884" customFormat="false" ht="14.25" hidden="false" customHeight="true" outlineLevel="0" collapsed="false">
      <c r="A1884" s="1"/>
      <c r="B1884" s="1" t="s">
        <v>2026</v>
      </c>
      <c r="C1884" s="1" t="n">
        <v>3</v>
      </c>
      <c r="E1884" s="11" t="s">
        <v>79</v>
      </c>
      <c r="F1884" s="11" t="str">
        <f aca="false">IFERROR(__xludf.dummyfunction("GOOGLETRANSLATE(B1884,""en"",""ar"")"),"وجبة")</f>
        <v>وجبة</v>
      </c>
      <c r="G1884" s="3" t="n">
        <v>0</v>
      </c>
      <c r="H1884" s="3" t="n">
        <v>0</v>
      </c>
    </row>
    <row r="1885" customFormat="false" ht="14.25" hidden="false" customHeight="true" outlineLevel="0" collapsed="false">
      <c r="A1885" s="1"/>
      <c r="B1885" s="1" t="s">
        <v>2027</v>
      </c>
      <c r="C1885" s="1" t="n">
        <v>3</v>
      </c>
      <c r="E1885" s="11" t="s">
        <v>94</v>
      </c>
      <c r="F1885" s="11" t="str">
        <f aca="false">IFERROR(__xludf.dummyfunction("GOOGLETRANSLATE(B1885,""en"",""ar"")"),"يفتقد")</f>
        <v>يفتقد</v>
      </c>
      <c r="G1885" s="3" t="n">
        <v>0</v>
      </c>
      <c r="H1885" s="3" t="n">
        <v>0</v>
      </c>
    </row>
    <row r="1886" customFormat="false" ht="14.25" hidden="false" customHeight="true" outlineLevel="0" collapsed="false">
      <c r="A1886" s="1"/>
      <c r="B1886" s="1" t="s">
        <v>2028</v>
      </c>
      <c r="C1886" s="1" t="n">
        <v>3</v>
      </c>
      <c r="E1886" s="11" t="s">
        <v>119</v>
      </c>
      <c r="F1886" s="11" t="str">
        <f aca="false">IFERROR(__xludf.dummyfunction("GOOGLETRANSLATE(B1886,""en"",""ar"")"),"مراقب")</f>
        <v>مراقب</v>
      </c>
      <c r="G1886" s="3" t="n">
        <v>0</v>
      </c>
      <c r="H1886" s="3" t="n">
        <v>0</v>
      </c>
    </row>
    <row r="1887" customFormat="false" ht="14.25" hidden="false" customHeight="true" outlineLevel="0" collapsed="false">
      <c r="A1887" s="1"/>
      <c r="B1887" s="1" t="s">
        <v>2029</v>
      </c>
      <c r="C1887" s="1" t="n">
        <v>3</v>
      </c>
      <c r="E1887" s="11" t="s">
        <v>119</v>
      </c>
      <c r="F1887" s="11" t="str">
        <f aca="false">IFERROR(__xludf.dummyfunction("GOOGLETRANSLATE(B1887,""en"",""ar"")"),"الرهن العقاري")</f>
        <v>الرهن العقاري</v>
      </c>
      <c r="G1887" s="3" t="n">
        <v>0</v>
      </c>
      <c r="H1887" s="3" t="n">
        <v>0</v>
      </c>
    </row>
    <row r="1888" customFormat="false" ht="14.25" hidden="false" customHeight="true" outlineLevel="0" collapsed="false">
      <c r="A1888" s="1"/>
      <c r="B1888" s="1" t="s">
        <v>2030</v>
      </c>
      <c r="C1888" s="1" t="n">
        <v>3</v>
      </c>
      <c r="E1888" s="11" t="s">
        <v>12</v>
      </c>
      <c r="F1888" s="11" t="str">
        <f aca="false">IFERROR(__xludf.dummyfunction("GOOGLETRANSLATE(B1888,""en"",""ar"")"),"تفاوض")</f>
        <v>تفاوض</v>
      </c>
      <c r="G1888" s="3" t="n">
        <v>0</v>
      </c>
      <c r="H1888" s="3" t="n">
        <v>0</v>
      </c>
    </row>
    <row r="1889" customFormat="false" ht="14.25" hidden="false" customHeight="true" outlineLevel="0" collapsed="false">
      <c r="A1889" s="1"/>
      <c r="B1889" s="1" t="s">
        <v>2031</v>
      </c>
      <c r="C1889" s="1" t="n">
        <v>3</v>
      </c>
      <c r="E1889" s="11" t="s">
        <v>119</v>
      </c>
      <c r="F1889" s="11" t="str">
        <f aca="false">IFERROR(__xludf.dummyfunction("GOOGLETRANSLATE(B1889,""en"",""ar"")"),"ممرض")</f>
        <v>ممرض</v>
      </c>
      <c r="G1889" s="3" t="n">
        <v>0</v>
      </c>
      <c r="H1889" s="3" t="n">
        <v>0</v>
      </c>
    </row>
    <row r="1890" customFormat="false" ht="14.25" hidden="false" customHeight="true" outlineLevel="0" collapsed="false">
      <c r="A1890" s="1"/>
      <c r="B1890" s="1" t="s">
        <v>2032</v>
      </c>
      <c r="C1890" s="1" t="n">
        <v>3</v>
      </c>
      <c r="E1890" s="11" t="s">
        <v>1967</v>
      </c>
      <c r="F1890" s="11" t="str">
        <f aca="false">IFERROR(__xludf.dummyfunction("GOOGLETRANSLATE(B1890,""en"",""ar"")"),"خطوة")</f>
        <v>خطوة</v>
      </c>
      <c r="G1890" s="3" t="n">
        <v>0</v>
      </c>
      <c r="H1890" s="3" t="n">
        <v>0</v>
      </c>
    </row>
    <row r="1891" customFormat="false" ht="14.25" hidden="false" customHeight="true" outlineLevel="0" collapsed="false">
      <c r="A1891" s="1"/>
      <c r="B1891" s="1" t="s">
        <v>2033</v>
      </c>
      <c r="C1891" s="1" t="n">
        <v>3</v>
      </c>
      <c r="E1891" s="11" t="s">
        <v>119</v>
      </c>
      <c r="F1891" s="11" t="str">
        <f aca="false">IFERROR(__xludf.dummyfunction("GOOGLETRANSLATE(B1891,""en"",""ar"")"),"هلع")</f>
        <v>هلع</v>
      </c>
      <c r="G1891" s="3" t="n">
        <v>0</v>
      </c>
      <c r="H1891" s="3" t="n">
        <v>0</v>
      </c>
    </row>
    <row r="1892" customFormat="false" ht="14.25" hidden="false" customHeight="true" outlineLevel="0" collapsed="false">
      <c r="A1892" s="1"/>
      <c r="B1892" s="1" t="s">
        <v>2034</v>
      </c>
      <c r="C1892" s="1" t="n">
        <v>3</v>
      </c>
      <c r="E1892" s="11" t="s">
        <v>128</v>
      </c>
      <c r="F1892" s="11" t="str">
        <f aca="false">IFERROR(__xludf.dummyfunction("GOOGLETRANSLATE(B1892,""en"",""ar"")"),"قمة")</f>
        <v>قمة</v>
      </c>
      <c r="G1892" s="3" t="n">
        <v>0</v>
      </c>
      <c r="H1892" s="3" t="n">
        <v>0</v>
      </c>
    </row>
    <row r="1893" customFormat="false" ht="14.25" hidden="false" customHeight="true" outlineLevel="0" collapsed="false">
      <c r="A1893" s="1"/>
      <c r="B1893" s="1" t="s">
        <v>2035</v>
      </c>
      <c r="C1893" s="1" t="n">
        <v>3</v>
      </c>
      <c r="E1893" s="11" t="s">
        <v>79</v>
      </c>
      <c r="F1893" s="11" t="str">
        <f aca="false">IFERROR(__xludf.dummyfunction("GOOGLETRANSLATE(B1893,""en"",""ar"")"),"المعرفة")</f>
        <v>المعرفة</v>
      </c>
      <c r="G1893" s="3" t="n">
        <v>0</v>
      </c>
      <c r="H1893" s="3" t="n">
        <v>0</v>
      </c>
    </row>
    <row r="1894" customFormat="false" ht="14.25" hidden="false" customHeight="true" outlineLevel="0" collapsed="false">
      <c r="A1894" s="1"/>
      <c r="B1894" s="1" t="s">
        <v>2036</v>
      </c>
      <c r="C1894" s="1" t="n">
        <v>3</v>
      </c>
      <c r="E1894" s="11" t="s">
        <v>94</v>
      </c>
      <c r="F1894" s="11" t="str">
        <f aca="false">IFERROR(__xludf.dummyfunction("GOOGLETRANSLATE(B1894,""en"",""ar"")"),"يسمح")</f>
        <v>يسمح</v>
      </c>
      <c r="G1894" s="3" t="n">
        <v>0</v>
      </c>
      <c r="H1894" s="3" t="n">
        <v>0</v>
      </c>
    </row>
    <row r="1895" customFormat="false" ht="14.25" hidden="false" customHeight="true" outlineLevel="0" collapsed="false">
      <c r="A1895" s="1"/>
      <c r="B1895" s="1" t="s">
        <v>2037</v>
      </c>
      <c r="C1895" s="1" t="n">
        <v>3</v>
      </c>
      <c r="E1895" s="11" t="s">
        <v>79</v>
      </c>
      <c r="F1895" s="11" t="str">
        <f aca="false">IFERROR(__xludf.dummyfunction("GOOGLETRANSLATE(B1895,""en"",""ar"")"),"فطيرة")</f>
        <v>فطيرة</v>
      </c>
      <c r="G1895" s="3" t="n">
        <v>0</v>
      </c>
      <c r="H1895" s="3" t="n">
        <v>0</v>
      </c>
    </row>
    <row r="1896" customFormat="false" ht="14.25" hidden="false" customHeight="true" outlineLevel="0" collapsed="false">
      <c r="A1896" s="1"/>
      <c r="B1896" s="1" t="s">
        <v>2038</v>
      </c>
      <c r="C1896" s="1" t="n">
        <v>3</v>
      </c>
      <c r="E1896" s="11" t="s">
        <v>83</v>
      </c>
      <c r="F1896" s="11" t="str">
        <f aca="false">IFERROR(__xludf.dummyfunction("GOOGLETRANSLATE(B1896,""en"",""ar"")"),"طائرة")</f>
        <v>طائرة</v>
      </c>
      <c r="G1896" s="3" t="n">
        <v>0</v>
      </c>
      <c r="H1896" s="3" t="n">
        <v>0</v>
      </c>
    </row>
    <row r="1897" customFormat="false" ht="14.25" hidden="false" customHeight="true" outlineLevel="0" collapsed="false">
      <c r="A1897" s="1"/>
      <c r="B1897" s="1" t="s">
        <v>2039</v>
      </c>
      <c r="C1897" s="1" t="n">
        <v>3</v>
      </c>
      <c r="E1897" s="11" t="s">
        <v>79</v>
      </c>
      <c r="F1897" s="11" t="str">
        <f aca="false">IFERROR(__xludf.dummyfunction("GOOGLETRANSLATE(B1897,""en"",""ar"")"),"قصيدة")</f>
        <v>قصيدة</v>
      </c>
      <c r="G1897" s="3" t="n">
        <v>0</v>
      </c>
      <c r="H1897" s="3" t="n">
        <v>0</v>
      </c>
    </row>
    <row r="1898" customFormat="false" ht="14.25" hidden="false" customHeight="true" outlineLevel="0" collapsed="false">
      <c r="A1898" s="1"/>
      <c r="B1898" s="1" t="s">
        <v>2040</v>
      </c>
      <c r="C1898" s="1" t="n">
        <v>3</v>
      </c>
      <c r="E1898" s="11" t="s">
        <v>79</v>
      </c>
      <c r="F1898" s="11" t="str">
        <f aca="false">IFERROR(__xludf.dummyfunction("GOOGLETRANSLATE(B1898,""en"",""ar"")"),"حضور")</f>
        <v>حضور</v>
      </c>
      <c r="G1898" s="3" t="n">
        <v>0</v>
      </c>
      <c r="H1898" s="3" t="n">
        <v>0</v>
      </c>
    </row>
    <row r="1899" customFormat="false" ht="14.25" hidden="false" customHeight="true" outlineLevel="0" collapsed="false">
      <c r="A1899" s="1"/>
      <c r="B1899" s="1" t="s">
        <v>2041</v>
      </c>
      <c r="C1899" s="1" t="n">
        <v>3</v>
      </c>
      <c r="E1899" s="11" t="s">
        <v>79</v>
      </c>
      <c r="F1899" s="11" t="str">
        <f aca="false">IFERROR(__xludf.dummyfunction("GOOGLETRANSLATE(B1899,""en"",""ar"")"),"اقتراح")</f>
        <v>اقتراح</v>
      </c>
      <c r="G1899" s="3" t="n">
        <v>0</v>
      </c>
      <c r="H1899" s="3" t="n">
        <v>0</v>
      </c>
    </row>
    <row r="1900" customFormat="false" ht="14.25" hidden="false" customHeight="true" outlineLevel="0" collapsed="false">
      <c r="A1900" s="1"/>
      <c r="B1900" s="1" t="s">
        <v>2042</v>
      </c>
      <c r="C1900" s="1" t="n">
        <v>3</v>
      </c>
      <c r="E1900" s="11" t="s">
        <v>87</v>
      </c>
      <c r="F1900" s="11" t="str">
        <f aca="false">IFERROR(__xludf.dummyfunction("GOOGLETRANSLATE(B1900,""en"",""ar"")"),"قدمت")</f>
        <v>قدمت</v>
      </c>
      <c r="G1900" s="3" t="n">
        <v>0</v>
      </c>
      <c r="H1900" s="3" t="n">
        <v>0</v>
      </c>
    </row>
    <row r="1901" customFormat="false" ht="14.25" hidden="false" customHeight="true" outlineLevel="0" collapsed="false">
      <c r="A1901" s="1"/>
      <c r="B1901" s="1" t="s">
        <v>2043</v>
      </c>
      <c r="C1901" s="1" t="n">
        <v>3</v>
      </c>
      <c r="E1901" s="11" t="s">
        <v>12</v>
      </c>
      <c r="F1901" s="11" t="str">
        <f aca="false">IFERROR(__xludf.dummyfunction("GOOGLETRANSLATE(B1901,""en"",""ar"")"),"التأهل")</f>
        <v>التأهل</v>
      </c>
      <c r="G1901" s="3" t="n">
        <v>0</v>
      </c>
      <c r="H1901" s="3" t="n">
        <v>0</v>
      </c>
    </row>
    <row r="1902" customFormat="false" ht="14.25" hidden="false" customHeight="true" outlineLevel="0" collapsed="false">
      <c r="A1902" s="1"/>
      <c r="B1902" s="1" t="s">
        <v>2044</v>
      </c>
      <c r="C1902" s="1" t="n">
        <v>3</v>
      </c>
      <c r="E1902" s="11" t="s">
        <v>94</v>
      </c>
      <c r="F1902" s="11" t="str">
        <f aca="false">IFERROR(__xludf.dummyfunction("GOOGLETRANSLATE(B1902,""en"",""ar"")"),"اقتبس")</f>
        <v>اقتبس</v>
      </c>
      <c r="G1902" s="3" t="n">
        <v>0</v>
      </c>
      <c r="H1902" s="3" t="n">
        <v>0</v>
      </c>
    </row>
    <row r="1903" customFormat="false" ht="14.25" hidden="false" customHeight="true" outlineLevel="0" collapsed="false">
      <c r="A1903" s="1"/>
      <c r="B1903" s="1" t="s">
        <v>2045</v>
      </c>
      <c r="C1903" s="1" t="n">
        <v>3</v>
      </c>
      <c r="E1903" s="11" t="s">
        <v>112</v>
      </c>
      <c r="F1903" s="11" t="str">
        <f aca="false">IFERROR(__xludf.dummyfunction("GOOGLETRANSLATE(B1903,""en"",""ar"")"),"واقعي")</f>
        <v>واقعي</v>
      </c>
      <c r="G1903" s="3" t="n">
        <v>0</v>
      </c>
      <c r="H1903" s="3" t="n">
        <v>0</v>
      </c>
    </row>
    <row r="1904" customFormat="false" ht="14.25" hidden="false" customHeight="true" outlineLevel="0" collapsed="false">
      <c r="A1904" s="1"/>
      <c r="B1904" s="1" t="s">
        <v>2046</v>
      </c>
      <c r="C1904" s="1" t="n">
        <v>3</v>
      </c>
      <c r="E1904" s="11" t="s">
        <v>79</v>
      </c>
      <c r="F1904" s="11" t="str">
        <f aca="false">IFERROR(__xludf.dummyfunction("GOOGLETRANSLATE(B1904,""en"",""ar"")"),"استقبال")</f>
        <v>استقبال</v>
      </c>
      <c r="G1904" s="3" t="n">
        <v>0</v>
      </c>
      <c r="H1904" s="3" t="n">
        <v>0</v>
      </c>
    </row>
    <row r="1905" customFormat="false" ht="14.25" hidden="false" customHeight="true" outlineLevel="0" collapsed="false">
      <c r="A1905" s="1"/>
      <c r="B1905" s="1" t="s">
        <v>2047</v>
      </c>
      <c r="C1905" s="1" t="n">
        <v>3</v>
      </c>
      <c r="E1905" s="11" t="s">
        <v>94</v>
      </c>
      <c r="F1905" s="11" t="str">
        <f aca="false">IFERROR(__xludf.dummyfunction("GOOGLETRANSLATE(B1905,""en"",""ar"")"),"استعادة")</f>
        <v>استعادة</v>
      </c>
      <c r="G1905" s="3" t="n">
        <v>0</v>
      </c>
      <c r="H1905" s="3" t="n">
        <v>0</v>
      </c>
    </row>
    <row r="1906" customFormat="false" ht="14.25" hidden="false" customHeight="true" outlineLevel="0" collapsed="false">
      <c r="A1906" s="1"/>
      <c r="B1906" s="1" t="s">
        <v>2048</v>
      </c>
      <c r="C1906" s="1" t="n">
        <v>3</v>
      </c>
      <c r="E1906" s="11" t="s">
        <v>79</v>
      </c>
      <c r="F1906" s="11" t="str">
        <f aca="false">IFERROR(__xludf.dummyfunction("GOOGLETRANSLATE(B1906,""en"",""ar"")"),"إستبدال")</f>
        <v>إستبدال</v>
      </c>
      <c r="G1906" s="3" t="n">
        <v>0</v>
      </c>
      <c r="H1906" s="3" t="n">
        <v>0</v>
      </c>
    </row>
    <row r="1907" customFormat="false" ht="14.25" hidden="false" customHeight="true" outlineLevel="0" collapsed="false">
      <c r="A1907" s="1"/>
      <c r="B1907" s="1" t="s">
        <v>2049</v>
      </c>
      <c r="C1907" s="1" t="n">
        <v>3</v>
      </c>
      <c r="E1907" s="11" t="s">
        <v>94</v>
      </c>
      <c r="F1907" s="11" t="str">
        <f aca="false">IFERROR(__xludf.dummyfunction("GOOGLETRANSLATE(B1907,""en"",""ar"")"),"حل")</f>
        <v>حل</v>
      </c>
      <c r="G1907" s="3" t="n">
        <v>0</v>
      </c>
      <c r="H1907" s="3" t="n">
        <v>0</v>
      </c>
    </row>
    <row r="1908" customFormat="false" ht="14.25" hidden="false" customHeight="true" outlineLevel="0" collapsed="false">
      <c r="A1908" s="1"/>
      <c r="B1908" s="1" t="s">
        <v>2050</v>
      </c>
      <c r="C1908" s="1" t="n">
        <v>3</v>
      </c>
      <c r="E1908" s="11" t="s">
        <v>12</v>
      </c>
      <c r="F1908" s="11" t="str">
        <f aca="false">IFERROR(__xludf.dummyfunction("GOOGLETRANSLATE(B1908,""en"",""ar"")"),"تقاعد")</f>
        <v>تقاعد</v>
      </c>
      <c r="G1908" s="3" t="n">
        <v>0</v>
      </c>
      <c r="H1908" s="3" t="n">
        <v>0</v>
      </c>
    </row>
    <row r="1909" customFormat="false" ht="14.25" hidden="false" customHeight="true" outlineLevel="0" collapsed="false">
      <c r="A1909" s="1"/>
      <c r="B1909" s="1" t="s">
        <v>2051</v>
      </c>
      <c r="C1909" s="1" t="n">
        <v>3</v>
      </c>
      <c r="E1909" s="11" t="s">
        <v>79</v>
      </c>
      <c r="F1909" s="11" t="str">
        <f aca="false">IFERROR(__xludf.dummyfunction("GOOGLETRANSLATE(B1909,""en"",""ar"")"),"ثورة")</f>
        <v>ثورة</v>
      </c>
      <c r="G1909" s="3" t="n">
        <v>0</v>
      </c>
      <c r="H1909" s="3" t="n">
        <v>0</v>
      </c>
    </row>
    <row r="1910" customFormat="false" ht="14.25" hidden="false" customHeight="true" outlineLevel="0" collapsed="false">
      <c r="A1910" s="1"/>
      <c r="B1910" s="1" t="s">
        <v>2052</v>
      </c>
      <c r="C1910" s="1" t="n">
        <v>3</v>
      </c>
      <c r="E1910" s="11" t="s">
        <v>119</v>
      </c>
      <c r="F1910" s="11" t="str">
        <f aca="false">IFERROR(__xludf.dummyfunction("GOOGLETRANSLATE(B1910,""en"",""ar"")"),"مكافأة")</f>
        <v>مكافأة</v>
      </c>
      <c r="G1910" s="3" t="n">
        <v>0</v>
      </c>
      <c r="H1910" s="3" t="n">
        <v>0</v>
      </c>
    </row>
    <row r="1911" customFormat="false" ht="14.25" hidden="false" customHeight="true" outlineLevel="0" collapsed="false">
      <c r="A1911" s="1"/>
      <c r="B1911" s="1" t="s">
        <v>2053</v>
      </c>
      <c r="C1911" s="1" t="n">
        <v>3</v>
      </c>
      <c r="E1911" s="11" t="s">
        <v>12</v>
      </c>
      <c r="F1911" s="11" t="str">
        <f aca="false">IFERROR(__xludf.dummyfunction("GOOGLETRANSLATE(B1911,""en"",""ar"")"),"يتخلص")</f>
        <v>يتخلص</v>
      </c>
      <c r="G1911" s="3" t="n">
        <v>0</v>
      </c>
      <c r="H1911" s="3" t="n">
        <v>0</v>
      </c>
    </row>
    <row r="1912" customFormat="false" ht="14.25" hidden="false" customHeight="true" outlineLevel="0" collapsed="false">
      <c r="A1912" s="1"/>
      <c r="B1912" s="1" t="s">
        <v>2054</v>
      </c>
      <c r="C1912" s="1" t="n">
        <v>3</v>
      </c>
      <c r="E1912" s="11" t="s">
        <v>79</v>
      </c>
      <c r="F1912" s="11" t="str">
        <f aca="false">IFERROR(__xludf.dummyfunction("GOOGLETRANSLATE(B1912,""en"",""ar"")"),"نهر")</f>
        <v>نهر</v>
      </c>
      <c r="G1912" s="3" t="n">
        <v>0</v>
      </c>
      <c r="H1912" s="3" t="n">
        <v>0</v>
      </c>
    </row>
    <row r="1913" customFormat="false" ht="14.25" hidden="false" customHeight="true" outlineLevel="0" collapsed="false">
      <c r="A1913" s="1"/>
      <c r="B1913" s="1" t="s">
        <v>2055</v>
      </c>
      <c r="C1913" s="1" t="n">
        <v>3</v>
      </c>
      <c r="E1913" s="11" t="s">
        <v>94</v>
      </c>
      <c r="F1913" s="11" t="str">
        <f aca="false">IFERROR(__xludf.dummyfunction("GOOGLETRANSLATE(B1913,""en"",""ar"")"),"تدحرج")</f>
        <v>تدحرج</v>
      </c>
      <c r="G1913" s="3" t="n">
        <v>0</v>
      </c>
      <c r="H1913" s="3" t="n">
        <v>0</v>
      </c>
    </row>
    <row r="1914" customFormat="false" ht="14.25" hidden="false" customHeight="true" outlineLevel="0" collapsed="false">
      <c r="A1914" s="1"/>
      <c r="B1914" s="1" t="s">
        <v>2056</v>
      </c>
      <c r="C1914" s="1" t="n">
        <v>3</v>
      </c>
      <c r="E1914" s="11" t="s">
        <v>119</v>
      </c>
      <c r="F1914" s="11" t="str">
        <f aca="false">IFERROR(__xludf.dummyfunction("GOOGLETRANSLATE(B1914,""en"",""ar"")"),"صف")</f>
        <v>صف</v>
      </c>
      <c r="G1914" s="3" t="n">
        <v>0</v>
      </c>
      <c r="H1914" s="3" t="n">
        <v>0</v>
      </c>
    </row>
    <row r="1915" customFormat="false" ht="14.25" hidden="false" customHeight="true" outlineLevel="0" collapsed="false">
      <c r="A1915" s="1"/>
      <c r="B1915" s="1" t="s">
        <v>2057</v>
      </c>
      <c r="C1915" s="1" t="n">
        <v>3</v>
      </c>
      <c r="E1915" s="11" t="s">
        <v>119</v>
      </c>
      <c r="F1915" s="11" t="str">
        <f aca="false">IFERROR(__xludf.dummyfunction("GOOGLETRANSLATE(B1915,""en"",""ar"")"),"ساندويتش")</f>
        <v>ساندويتش</v>
      </c>
      <c r="G1915" s="3" t="n">
        <v>0</v>
      </c>
      <c r="H1915" s="3" t="n">
        <v>0</v>
      </c>
    </row>
    <row r="1916" customFormat="false" ht="14.25" hidden="false" customHeight="true" outlineLevel="0" collapsed="false">
      <c r="A1916" s="1"/>
      <c r="B1916" s="1" t="s">
        <v>2058</v>
      </c>
      <c r="C1916" s="1" t="n">
        <v>3</v>
      </c>
      <c r="E1916" s="11" t="s">
        <v>119</v>
      </c>
      <c r="F1916" s="11" t="str">
        <f aca="false">IFERROR(__xludf.dummyfunction("GOOGLETRANSLATE(B1916,""en"",""ar"")"),"صدمة")</f>
        <v>صدمة</v>
      </c>
      <c r="G1916" s="3" t="n">
        <v>0</v>
      </c>
      <c r="H1916" s="3" t="n">
        <v>0</v>
      </c>
    </row>
    <row r="1917" customFormat="false" ht="14.25" hidden="false" customHeight="true" outlineLevel="0" collapsed="false">
      <c r="A1917" s="1"/>
      <c r="B1917" s="1" t="s">
        <v>2059</v>
      </c>
      <c r="C1917" s="1" t="n">
        <v>3</v>
      </c>
      <c r="E1917" s="11" t="s">
        <v>94</v>
      </c>
      <c r="F1917" s="11" t="str">
        <f aca="false">IFERROR(__xludf.dummyfunction("GOOGLETRANSLATE(B1917,""en"",""ar"")"),"مكتب المدير")</f>
        <v>مكتب المدير</v>
      </c>
      <c r="G1917" s="3" t="n">
        <v>0</v>
      </c>
      <c r="H1917" s="3" t="n">
        <v>0</v>
      </c>
    </row>
    <row r="1918" customFormat="false" ht="14.25" hidden="false" customHeight="true" outlineLevel="0" collapsed="false">
      <c r="A1918" s="1"/>
      <c r="B1918" s="1" t="s">
        <v>2060</v>
      </c>
      <c r="C1918" s="1" t="n">
        <v>3</v>
      </c>
      <c r="E1918" s="11" t="s">
        <v>94</v>
      </c>
      <c r="F1918" s="11" t="str">
        <f aca="false">IFERROR(__xludf.dummyfunction("GOOGLETRANSLATE(B1918,""en"",""ar"")"),"ينزلق")</f>
        <v>ينزلق</v>
      </c>
      <c r="G1918" s="3" t="n">
        <v>0</v>
      </c>
      <c r="H1918" s="3" t="n">
        <v>0</v>
      </c>
    </row>
    <row r="1919" customFormat="false" ht="14.25" hidden="false" customHeight="true" outlineLevel="0" collapsed="false">
      <c r="A1919" s="1"/>
      <c r="B1919" s="1" t="s">
        <v>2061</v>
      </c>
      <c r="C1919" s="1" t="n">
        <v>3</v>
      </c>
      <c r="E1919" s="11" t="s">
        <v>79</v>
      </c>
      <c r="F1919" s="11" t="str">
        <f aca="false">IFERROR(__xludf.dummyfunction("GOOGLETRANSLATE(B1919,""en"",""ar"")"),"ابن")</f>
        <v>ابن</v>
      </c>
      <c r="G1919" s="3" t="n">
        <v>0</v>
      </c>
      <c r="H1919" s="3" t="n">
        <v>0</v>
      </c>
    </row>
    <row r="1920" customFormat="false" ht="14.25" hidden="false" customHeight="true" outlineLevel="0" collapsed="false">
      <c r="A1920" s="1"/>
      <c r="B1920" s="1" t="s">
        <v>2062</v>
      </c>
      <c r="C1920" s="1" t="n">
        <v>3</v>
      </c>
      <c r="E1920" s="11" t="s">
        <v>112</v>
      </c>
      <c r="F1920" s="11" t="str">
        <f aca="false">IFERROR(__xludf.dummyfunction("GOOGLETRANSLATE(B1920,""en"",""ar"")"),"آسف")</f>
        <v>آسف</v>
      </c>
      <c r="G1920" s="3" t="n">
        <v>0</v>
      </c>
      <c r="H1920" s="3" t="n">
        <v>0</v>
      </c>
    </row>
    <row r="1921" customFormat="false" ht="14.25" hidden="false" customHeight="true" outlineLevel="0" collapsed="false">
      <c r="A1921" s="1"/>
      <c r="B1921" s="1" t="s">
        <v>2063</v>
      </c>
      <c r="C1921" s="1" t="n">
        <v>3</v>
      </c>
      <c r="E1921" s="11" t="s">
        <v>405</v>
      </c>
      <c r="F1921" s="11" t="str">
        <f aca="false">IFERROR(__xludf.dummyfunction("GOOGLETRANSLATE(B1921,""en"",""ar"")"),"إضافي")</f>
        <v>إضافي</v>
      </c>
      <c r="G1921" s="3" t="n">
        <v>0</v>
      </c>
      <c r="H1921" s="3" t="n">
        <v>0</v>
      </c>
    </row>
    <row r="1922" customFormat="false" ht="14.25" hidden="false" customHeight="true" outlineLevel="0" collapsed="false">
      <c r="A1922" s="1"/>
      <c r="B1922" s="1" t="s">
        <v>2064</v>
      </c>
      <c r="C1922" s="1" t="n">
        <v>3</v>
      </c>
      <c r="E1922" s="11" t="s">
        <v>79</v>
      </c>
      <c r="F1922" s="11" t="str">
        <f aca="false">IFERROR(__xludf.dummyfunction("GOOGLETRANSLATE(B1922,""en"",""ar"")"),"خطاب")</f>
        <v>خطاب</v>
      </c>
      <c r="G1922" s="3" t="n">
        <v>0</v>
      </c>
      <c r="H1922" s="3" t="n">
        <v>0</v>
      </c>
    </row>
    <row r="1923" customFormat="false" ht="14.25" hidden="false" customHeight="true" outlineLevel="0" collapsed="false">
      <c r="A1923" s="1"/>
      <c r="B1923" s="1" t="s">
        <v>2065</v>
      </c>
      <c r="C1923" s="1" t="n">
        <v>3</v>
      </c>
      <c r="E1923" s="11" t="s">
        <v>119</v>
      </c>
      <c r="F1923" s="11" t="str">
        <f aca="false">IFERROR(__xludf.dummyfunction("GOOGLETRANSLATE(B1923,""en"",""ar"")"),"رغم")</f>
        <v>رغم</v>
      </c>
      <c r="G1923" s="3" t="n">
        <v>0</v>
      </c>
      <c r="H1923" s="3" t="n">
        <v>0</v>
      </c>
    </row>
    <row r="1924" customFormat="false" ht="14.25" hidden="false" customHeight="true" outlineLevel="0" collapsed="false">
      <c r="A1924" s="1"/>
      <c r="B1924" s="1" t="s">
        <v>2066</v>
      </c>
      <c r="C1924" s="1" t="n">
        <v>3</v>
      </c>
      <c r="E1924" s="11" t="s">
        <v>119</v>
      </c>
      <c r="F1924" s="11" t="str">
        <f aca="false">IFERROR(__xludf.dummyfunction("GOOGLETRANSLATE(B1924,""en"",""ar"")"),"رذاذ")</f>
        <v>رذاذ</v>
      </c>
      <c r="G1924" s="3" t="n">
        <v>0</v>
      </c>
      <c r="H1924" s="3" t="n">
        <v>0</v>
      </c>
    </row>
    <row r="1925" customFormat="false" ht="14.25" hidden="false" customHeight="true" outlineLevel="0" collapsed="false">
      <c r="A1925" s="1"/>
      <c r="B1925" s="1" t="s">
        <v>2067</v>
      </c>
      <c r="C1925" s="1" t="n">
        <v>3</v>
      </c>
      <c r="E1925" s="11" t="s">
        <v>119</v>
      </c>
      <c r="F1925" s="11" t="str">
        <f aca="false">IFERROR(__xludf.dummyfunction("GOOGLETRANSLATE(B1925,""en"",""ar"")"),"مفاجئة")</f>
        <v>مفاجئة</v>
      </c>
      <c r="G1925" s="3" t="n">
        <v>0</v>
      </c>
      <c r="H1925" s="3" t="n">
        <v>0</v>
      </c>
    </row>
    <row r="1926" customFormat="false" ht="14.25" hidden="false" customHeight="true" outlineLevel="0" collapsed="false">
      <c r="A1926" s="1"/>
      <c r="B1926" s="1" t="s">
        <v>2068</v>
      </c>
      <c r="C1926" s="1" t="n">
        <v>3</v>
      </c>
      <c r="E1926" s="11" t="s">
        <v>324</v>
      </c>
      <c r="F1926" s="11" t="str">
        <f aca="false">IFERROR(__xludf.dummyfunction("GOOGLETRANSLATE(B1926,""en"",""ar"")"),"مشتبه فيه")</f>
        <v>مشتبه فيه</v>
      </c>
      <c r="G1926" s="3" t="n">
        <v>0</v>
      </c>
      <c r="H1926" s="3" t="n">
        <v>0</v>
      </c>
    </row>
    <row r="1927" customFormat="false" ht="14.25" hidden="false" customHeight="true" outlineLevel="0" collapsed="false">
      <c r="A1927" s="1"/>
      <c r="B1927" s="1" t="s">
        <v>2069</v>
      </c>
      <c r="C1927" s="1" t="n">
        <v>3</v>
      </c>
      <c r="E1927" s="11" t="s">
        <v>235</v>
      </c>
      <c r="F1927" s="11" t="str">
        <f aca="false">IFERROR(__xludf.dummyfunction("GOOGLETRANSLATE(B1927,""en"",""ar"")"),"حلو")</f>
        <v>حلو</v>
      </c>
      <c r="G1927" s="3" t="n">
        <v>0</v>
      </c>
      <c r="H1927" s="3" t="n">
        <v>0</v>
      </c>
    </row>
    <row r="1928" customFormat="false" ht="14.25" hidden="false" customHeight="true" outlineLevel="0" collapsed="false">
      <c r="A1928" s="1"/>
      <c r="B1928" s="1" t="s">
        <v>2070</v>
      </c>
      <c r="C1928" s="1" t="n">
        <v>3</v>
      </c>
      <c r="E1928" s="11" t="s">
        <v>94</v>
      </c>
      <c r="F1928" s="11" t="str">
        <f aca="false">IFERROR(__xludf.dummyfunction("GOOGLETRANSLATE(B1928,""en"",""ar"")"),"تأرجح")</f>
        <v>تأرجح</v>
      </c>
      <c r="G1928" s="3" t="n">
        <v>0</v>
      </c>
      <c r="H1928" s="3" t="n">
        <v>0</v>
      </c>
    </row>
    <row r="1929" customFormat="false" ht="14.25" hidden="false" customHeight="true" outlineLevel="0" collapsed="false">
      <c r="A1929" s="1"/>
      <c r="B1929" s="1" t="s">
        <v>2071</v>
      </c>
      <c r="C1929" s="1" t="n">
        <v>3</v>
      </c>
      <c r="E1929" s="11" t="s">
        <v>79</v>
      </c>
      <c r="F1929" s="11" t="str">
        <f aca="false">IFERROR(__xludf.dummyfunction("GOOGLETRANSLATE(B1929,""en"",""ar"")"),"شاي")</f>
        <v>شاي</v>
      </c>
      <c r="G1929" s="3" t="n">
        <v>0</v>
      </c>
      <c r="H1929" s="3" t="n">
        <v>0</v>
      </c>
    </row>
    <row r="1930" customFormat="false" ht="14.25" hidden="false" customHeight="true" outlineLevel="0" collapsed="false">
      <c r="A1930" s="1"/>
      <c r="B1930" s="1" t="s">
        <v>2072</v>
      </c>
      <c r="C1930" s="1" t="n">
        <v>3</v>
      </c>
      <c r="E1930" s="11" t="s">
        <v>119</v>
      </c>
      <c r="F1930" s="11" t="str">
        <f aca="false">IFERROR(__xludf.dummyfunction("GOOGLETRANSLATE(B1930,""en"",""ar"")"),"حتى")</f>
        <v>حتى</v>
      </c>
      <c r="G1930" s="3" t="n">
        <v>0</v>
      </c>
      <c r="H1930" s="3" t="n">
        <v>0</v>
      </c>
    </row>
    <row r="1931" customFormat="false" ht="14.25" hidden="false" customHeight="true" outlineLevel="0" collapsed="false">
      <c r="A1931" s="1"/>
      <c r="B1931" s="1" t="s">
        <v>2073</v>
      </c>
      <c r="C1931" s="1" t="n">
        <v>3</v>
      </c>
      <c r="E1931" s="11" t="s">
        <v>119</v>
      </c>
      <c r="F1931" s="11" t="str">
        <f aca="false">IFERROR(__xludf.dummyfunction("GOOGLETRANSLATE(B1931,""en"",""ar"")"),"انتقال")</f>
        <v>انتقال</v>
      </c>
      <c r="G1931" s="3" t="n">
        <v>0</v>
      </c>
      <c r="H1931" s="3" t="n">
        <v>0</v>
      </c>
    </row>
    <row r="1932" customFormat="false" ht="14.25" hidden="false" customHeight="true" outlineLevel="0" collapsed="false">
      <c r="A1932" s="1"/>
      <c r="B1932" s="1" t="s">
        <v>2074</v>
      </c>
      <c r="C1932" s="1" t="n">
        <v>3</v>
      </c>
      <c r="E1932" s="11" t="s">
        <v>94</v>
      </c>
      <c r="F1932" s="11" t="str">
        <f aca="false">IFERROR(__xludf.dummyfunction("GOOGLETRANSLATE(B1932,""en"",""ar"")"),"إلتواء")</f>
        <v>إلتواء</v>
      </c>
      <c r="G1932" s="3" t="n">
        <v>0</v>
      </c>
      <c r="H1932" s="3" t="n">
        <v>0</v>
      </c>
    </row>
    <row r="1933" customFormat="false" ht="14.25" hidden="false" customHeight="true" outlineLevel="0" collapsed="false">
      <c r="A1933" s="1"/>
      <c r="B1933" s="1" t="s">
        <v>2075</v>
      </c>
      <c r="C1933" s="1" t="n">
        <v>3</v>
      </c>
      <c r="E1933" s="11" t="s">
        <v>112</v>
      </c>
      <c r="F1933" s="11" t="str">
        <f aca="false">IFERROR(__xludf.dummyfunction("GOOGLETRANSLATE(B1933,""en"",""ar"")"),"البشع")</f>
        <v>البشع</v>
      </c>
      <c r="G1933" s="3" t="n">
        <v>0</v>
      </c>
      <c r="H1933" s="3" t="n">
        <v>0</v>
      </c>
    </row>
    <row r="1934" customFormat="false" ht="14.25" hidden="false" customHeight="true" outlineLevel="0" collapsed="false">
      <c r="A1934" s="1"/>
      <c r="B1934" s="1" t="s">
        <v>2076</v>
      </c>
      <c r="C1934" s="1" t="n">
        <v>3</v>
      </c>
      <c r="E1934" s="11" t="s">
        <v>112</v>
      </c>
      <c r="F1934" s="11" t="str">
        <f aca="false">IFERROR(__xludf.dummyfunction("GOOGLETRANSLATE(B1934,""en"",""ar"")"),"من غير المرجح")</f>
        <v>من غير المرجح</v>
      </c>
      <c r="G1934" s="3" t="n">
        <v>0</v>
      </c>
      <c r="H1934" s="3" t="n">
        <v>0</v>
      </c>
    </row>
    <row r="1935" customFormat="false" ht="14.25" hidden="false" customHeight="true" outlineLevel="0" collapsed="false">
      <c r="A1935" s="1"/>
      <c r="B1935" s="1" t="s">
        <v>2077</v>
      </c>
      <c r="C1935" s="1" t="n">
        <v>3</v>
      </c>
      <c r="E1935" s="11" t="s">
        <v>235</v>
      </c>
      <c r="F1935" s="11" t="str">
        <f aca="false">IFERROR(__xludf.dummyfunction("GOOGLETRANSLATE(B1935,""en"",""ar"")"),"الطابق العلوي")</f>
        <v>الطابق العلوي</v>
      </c>
      <c r="G1935" s="3" t="n">
        <v>0</v>
      </c>
      <c r="H1935" s="3" t="n">
        <v>0</v>
      </c>
    </row>
    <row r="1936" customFormat="false" ht="14.25" hidden="false" customHeight="true" outlineLevel="0" collapsed="false">
      <c r="A1936" s="1"/>
      <c r="B1936" s="1" t="s">
        <v>2078</v>
      </c>
      <c r="C1936" s="1" t="n">
        <v>3</v>
      </c>
      <c r="E1936" s="11" t="s">
        <v>235</v>
      </c>
      <c r="F1936" s="11" t="str">
        <f aca="false">IFERROR(__xludf.dummyfunction("GOOGLETRANSLATE(B1936,""en"",""ar"")"),"معتاد")</f>
        <v>معتاد</v>
      </c>
      <c r="G1936" s="3" t="n">
        <v>0</v>
      </c>
      <c r="H1936" s="3" t="n">
        <v>0</v>
      </c>
    </row>
    <row r="1937" customFormat="false" ht="14.25" hidden="false" customHeight="true" outlineLevel="0" collapsed="false">
      <c r="A1937" s="1"/>
      <c r="B1937" s="1" t="s">
        <v>2079</v>
      </c>
      <c r="C1937" s="1" t="n">
        <v>3</v>
      </c>
      <c r="E1937" s="11" t="s">
        <v>79</v>
      </c>
      <c r="F1937" s="11" t="str">
        <f aca="false">IFERROR(__xludf.dummyfunction("GOOGLETRANSLATE(B1937,""en"",""ar"")"),"قرية")</f>
        <v>قرية</v>
      </c>
      <c r="G1937" s="3" t="n">
        <v>0</v>
      </c>
      <c r="H1937" s="3" t="n">
        <v>0</v>
      </c>
    </row>
    <row r="1938" customFormat="false" ht="14.25" hidden="false" customHeight="true" outlineLevel="0" collapsed="false">
      <c r="A1938" s="1"/>
      <c r="B1938" s="1" t="s">
        <v>2080</v>
      </c>
      <c r="C1938" s="1" t="n">
        <v>3</v>
      </c>
      <c r="E1938" s="11" t="s">
        <v>79</v>
      </c>
      <c r="F1938" s="11" t="str">
        <f aca="false">IFERROR(__xludf.dummyfunction("GOOGLETRANSLATE(B1938,""en"",""ar"")"),"تحذير")</f>
        <v>تحذير</v>
      </c>
      <c r="G1938" s="3" t="n">
        <v>0</v>
      </c>
      <c r="H1938" s="3" t="n">
        <v>0</v>
      </c>
    </row>
    <row r="1939" customFormat="false" ht="14.25" hidden="false" customHeight="true" outlineLevel="0" collapsed="false">
      <c r="A1939" s="1"/>
      <c r="B1939" s="1" t="s">
        <v>2081</v>
      </c>
      <c r="C1939" s="1" t="n">
        <v>3</v>
      </c>
      <c r="E1939" s="11" t="s">
        <v>119</v>
      </c>
      <c r="F1939" s="11" t="str">
        <f aca="false">IFERROR(__xludf.dummyfunction("GOOGLETRANSLATE(B1939,""en"",""ar"")"),"عطلة نهاية الاسبوع")</f>
        <v>عطلة نهاية الاسبوع</v>
      </c>
      <c r="G1939" s="3" t="n">
        <v>0</v>
      </c>
      <c r="H1939" s="3" t="n">
        <v>0</v>
      </c>
    </row>
    <row r="1940" customFormat="false" ht="14.25" hidden="false" customHeight="true" outlineLevel="0" collapsed="false">
      <c r="A1940" s="1"/>
      <c r="B1940" s="1" t="s">
        <v>2082</v>
      </c>
      <c r="C1940" s="1" t="n">
        <v>3</v>
      </c>
      <c r="E1940" s="11" t="s">
        <v>12</v>
      </c>
      <c r="F1940" s="11" t="str">
        <f aca="false">IFERROR(__xludf.dummyfunction("GOOGLETRANSLATE(B1940,""en"",""ar"")"),"وزن")</f>
        <v>وزن</v>
      </c>
      <c r="G1940" s="3" t="n">
        <v>0</v>
      </c>
      <c r="H1940" s="3" t="n">
        <v>0</v>
      </c>
    </row>
    <row r="1941" customFormat="false" ht="14.25" hidden="false" customHeight="true" outlineLevel="0" collapsed="false">
      <c r="A1941" s="1"/>
      <c r="B1941" s="1" t="s">
        <v>2083</v>
      </c>
      <c r="C1941" s="1" t="n">
        <v>3</v>
      </c>
      <c r="E1941" s="11" t="s">
        <v>2084</v>
      </c>
      <c r="F1941" s="11" t="str">
        <f aca="false">IFERROR(__xludf.dummyfunction("GOOGLETRANSLATE(B1941,""en"",""ar"")"),"أهلا بك")</f>
        <v>أهلا بك</v>
      </c>
      <c r="G1941" s="3" t="n">
        <v>0</v>
      </c>
      <c r="H1941" s="3" t="n">
        <v>0</v>
      </c>
    </row>
    <row r="1942" customFormat="false" ht="14.25" hidden="false" customHeight="true" outlineLevel="0" collapsed="false">
      <c r="A1942" s="1"/>
      <c r="B1942" s="1" t="s">
        <v>2085</v>
      </c>
      <c r="C1942" s="1" t="n">
        <v>3</v>
      </c>
      <c r="E1942" s="11" t="s">
        <v>79</v>
      </c>
      <c r="F1942" s="11" t="str">
        <f aca="false">IFERROR(__xludf.dummyfunction("GOOGLETRANSLATE(B1942,""en"",""ar"")"),"الفائز")</f>
        <v>الفائز</v>
      </c>
      <c r="G1942" s="3" t="n">
        <v>0</v>
      </c>
      <c r="H1942" s="3" t="n">
        <v>0</v>
      </c>
    </row>
    <row r="1943" customFormat="false" ht="14.25" hidden="false" customHeight="true" outlineLevel="0" collapsed="false">
      <c r="A1943" s="1"/>
      <c r="B1943" s="1" t="s">
        <v>2086</v>
      </c>
      <c r="C1943" s="1" t="n">
        <v>3</v>
      </c>
      <c r="E1943" s="11" t="s">
        <v>79</v>
      </c>
      <c r="F1943" s="11" t="str">
        <f aca="false">IFERROR(__xludf.dummyfunction("GOOGLETRANSLATE(B1943,""en"",""ar"")"),"عامل")</f>
        <v>عامل</v>
      </c>
      <c r="G1943" s="3" t="n">
        <v>0</v>
      </c>
      <c r="H1943" s="3" t="n">
        <v>0</v>
      </c>
    </row>
    <row r="1944" customFormat="false" ht="14.25" hidden="false" customHeight="true" outlineLevel="0" collapsed="false">
      <c r="A1944" s="1"/>
      <c r="B1944" s="1" t="s">
        <v>2087</v>
      </c>
      <c r="C1944" s="1" t="n">
        <v>3</v>
      </c>
      <c r="E1944" s="11" t="s">
        <v>79</v>
      </c>
      <c r="F1944" s="11" t="str">
        <f aca="false">IFERROR(__xludf.dummyfunction("GOOGLETRANSLATE(B1944,""en"",""ar"")"),"كاتب")</f>
        <v>كاتب</v>
      </c>
      <c r="G1944" s="3" t="n">
        <v>0</v>
      </c>
      <c r="H1944" s="3" t="n">
        <v>0</v>
      </c>
    </row>
    <row r="1945" customFormat="false" ht="14.25" hidden="false" customHeight="true" outlineLevel="0" collapsed="false">
      <c r="A1945" s="1"/>
      <c r="B1945" s="1" t="s">
        <v>2088</v>
      </c>
      <c r="C1945" s="1" t="n">
        <v>3</v>
      </c>
      <c r="E1945" s="11" t="s">
        <v>119</v>
      </c>
      <c r="F1945" s="11" t="str">
        <f aca="false">IFERROR(__xludf.dummyfunction("GOOGLETRANSLATE(B1945,""en"",""ar"")"),"حديقة منزل")</f>
        <v>حديقة منزل</v>
      </c>
      <c r="G1945" s="3" t="n">
        <v>0</v>
      </c>
      <c r="H1945" s="3" t="n">
        <v>0</v>
      </c>
    </row>
    <row r="1946" customFormat="false" ht="14.25" hidden="false" customHeight="true" outlineLevel="0" collapsed="false">
      <c r="A1946" s="1"/>
      <c r="B1946" s="1" t="s">
        <v>2089</v>
      </c>
      <c r="C1946" s="1" t="n">
        <v>2</v>
      </c>
      <c r="E1946" s="11" t="s">
        <v>314</v>
      </c>
      <c r="F1946" s="11" t="str">
        <f aca="false">IFERROR(__xludf.dummyfunction("GOOGLETRANSLATE(B1946,""en"",""ar"")"),"خارج البلاد")</f>
        <v>خارج البلاد</v>
      </c>
      <c r="G1946" s="3" t="n">
        <v>0</v>
      </c>
      <c r="H1946" s="3" t="n">
        <v>0</v>
      </c>
    </row>
    <row r="1947" customFormat="false" ht="14.25" hidden="false" customHeight="true" outlineLevel="0" collapsed="false">
      <c r="A1947" s="1"/>
      <c r="B1947" s="1" t="s">
        <v>2090</v>
      </c>
      <c r="C1947" s="1" t="n">
        <v>2</v>
      </c>
      <c r="E1947" s="11" t="s">
        <v>119</v>
      </c>
      <c r="F1947" s="11" t="str">
        <f aca="false">IFERROR(__xludf.dummyfunction("GOOGLETRANSLATE(B1947,""en"",""ar"")"),"إنذار")</f>
        <v>إنذار</v>
      </c>
      <c r="G1947" s="3" t="n">
        <v>0</v>
      </c>
      <c r="H1947" s="3" t="n">
        <v>0</v>
      </c>
    </row>
    <row r="1948" customFormat="false" ht="14.25" hidden="false" customHeight="true" outlineLevel="0" collapsed="false">
      <c r="A1948" s="1"/>
      <c r="B1948" s="1" t="s">
        <v>2091</v>
      </c>
      <c r="C1948" s="1" t="n">
        <v>2</v>
      </c>
      <c r="E1948" s="11" t="s">
        <v>112</v>
      </c>
      <c r="F1948" s="11" t="str">
        <f aca="false">IFERROR(__xludf.dummyfunction("GOOGLETRANSLATE(B1948,""en"",""ar"")"),"قلق")</f>
        <v>قلق</v>
      </c>
      <c r="G1948" s="3" t="n">
        <v>0</v>
      </c>
      <c r="H1948" s="3" t="n">
        <v>0</v>
      </c>
    </row>
    <row r="1949" customFormat="false" ht="14.25" hidden="false" customHeight="true" outlineLevel="0" collapsed="false">
      <c r="A1949" s="1"/>
      <c r="B1949" s="1" t="s">
        <v>2092</v>
      </c>
      <c r="C1949" s="1" t="n">
        <v>2</v>
      </c>
      <c r="E1949" s="11" t="s">
        <v>12</v>
      </c>
      <c r="F1949" s="11" t="str">
        <f aca="false">IFERROR(__xludf.dummyfunction("GOOGLETRANSLATE(B1949,""en"",""ar"")"),"يصل")</f>
        <v>يصل</v>
      </c>
      <c r="G1949" s="3" t="n">
        <v>0</v>
      </c>
      <c r="H1949" s="3" t="n">
        <v>0</v>
      </c>
    </row>
    <row r="1950" customFormat="false" ht="14.25" hidden="false" customHeight="true" outlineLevel="0" collapsed="false">
      <c r="A1950" s="1"/>
      <c r="B1950" s="1" t="s">
        <v>2093</v>
      </c>
      <c r="C1950" s="1" t="n">
        <v>2</v>
      </c>
      <c r="E1950" s="11" t="s">
        <v>79</v>
      </c>
      <c r="F1950" s="11" t="str">
        <f aca="false">IFERROR(__xludf.dummyfunction("GOOGLETRANSLATE(B1950,""en"",""ar"")"),"مساعدة")</f>
        <v>مساعدة</v>
      </c>
      <c r="G1950" s="3" t="n">
        <v>0</v>
      </c>
      <c r="H1950" s="3" t="n">
        <v>0</v>
      </c>
    </row>
    <row r="1951" customFormat="false" ht="14.25" hidden="false" customHeight="true" outlineLevel="0" collapsed="false">
      <c r="A1951" s="1"/>
      <c r="B1951" s="1" t="s">
        <v>2094</v>
      </c>
      <c r="C1951" s="1" t="n">
        <v>2</v>
      </c>
      <c r="E1951" s="11" t="s">
        <v>12</v>
      </c>
      <c r="F1951" s="11" t="str">
        <f aca="false">IFERROR(__xludf.dummyfunction("GOOGLETRANSLATE(B1951,""en"",""ar"")"),"يربط")</f>
        <v>يربط</v>
      </c>
      <c r="G1951" s="3" t="n">
        <v>0</v>
      </c>
      <c r="H1951" s="3" t="n">
        <v>0</v>
      </c>
    </row>
    <row r="1952" customFormat="false" ht="14.25" hidden="false" customHeight="true" outlineLevel="0" collapsed="false">
      <c r="A1952" s="1"/>
      <c r="B1952" s="1" t="s">
        <v>2095</v>
      </c>
      <c r="C1952" s="1" t="n">
        <v>2</v>
      </c>
      <c r="E1952" s="11" t="s">
        <v>12</v>
      </c>
      <c r="F1952" s="11" t="str">
        <f aca="false">IFERROR(__xludf.dummyfunction("GOOGLETRANSLATE(B1952,""en"",""ar"")"),"تصرف")</f>
        <v>تصرف</v>
      </c>
      <c r="G1952" s="3" t="n">
        <v>0</v>
      </c>
      <c r="H1952" s="3" t="n">
        <v>0</v>
      </c>
    </row>
    <row r="1953" customFormat="false" ht="14.25" hidden="false" customHeight="true" outlineLevel="0" collapsed="false">
      <c r="A1953" s="1"/>
      <c r="B1953" s="1" t="s">
        <v>2096</v>
      </c>
      <c r="C1953" s="1" t="n">
        <v>2</v>
      </c>
      <c r="E1953" s="11" t="s">
        <v>119</v>
      </c>
      <c r="F1953" s="11" t="str">
        <f aca="false">IFERROR(__xludf.dummyfunction("GOOGLETRANSLATE(B1953,""en"",""ar"")"),"يلوي")</f>
        <v>يلوي</v>
      </c>
      <c r="G1953" s="3" t="n">
        <v>0</v>
      </c>
      <c r="H1953" s="3" t="n">
        <v>0</v>
      </c>
    </row>
    <row r="1954" customFormat="false" ht="14.25" hidden="false" customHeight="true" outlineLevel="0" collapsed="false">
      <c r="A1954" s="1"/>
      <c r="B1954" s="1" t="s">
        <v>2097</v>
      </c>
      <c r="C1954" s="1" t="n">
        <v>2</v>
      </c>
      <c r="E1954" s="11" t="s">
        <v>119</v>
      </c>
      <c r="F1954" s="11" t="str">
        <f aca="false">IFERROR(__xludf.dummyfunction("GOOGLETRANSLATE(B1954,""en"",""ar"")"),"دراجة")</f>
        <v>دراجة</v>
      </c>
      <c r="G1954" s="3" t="n">
        <v>0</v>
      </c>
      <c r="H1954" s="3" t="n">
        <v>0</v>
      </c>
    </row>
    <row r="1955" customFormat="false" ht="14.25" hidden="false" customHeight="true" outlineLevel="0" collapsed="false">
      <c r="A1955" s="1"/>
      <c r="B1955" s="1" t="s">
        <v>2098</v>
      </c>
      <c r="C1955" s="1" t="n">
        <v>2</v>
      </c>
      <c r="E1955" s="11" t="s">
        <v>119</v>
      </c>
      <c r="F1955" s="11" t="str">
        <f aca="false">IFERROR(__xludf.dummyfunction("GOOGLETRANSLATE(B1955,""en"",""ar"")"),"عضة")</f>
        <v>عضة</v>
      </c>
      <c r="G1955" s="3" t="n">
        <v>0</v>
      </c>
      <c r="H1955" s="3" t="n">
        <v>0</v>
      </c>
    </row>
    <row r="1956" customFormat="false" ht="14.25" hidden="false" customHeight="true" outlineLevel="0" collapsed="false">
      <c r="A1956" s="1"/>
      <c r="B1956" s="1" t="s">
        <v>2099</v>
      </c>
      <c r="C1956" s="1" t="n">
        <v>2</v>
      </c>
      <c r="E1956" s="11" t="s">
        <v>837</v>
      </c>
      <c r="F1956" s="11" t="str">
        <f aca="false">IFERROR(__xludf.dummyfunction("GOOGLETRANSLATE(B1956,""en"",""ar"")"),"أعمى")</f>
        <v>أعمى</v>
      </c>
      <c r="G1956" s="3" t="n">
        <v>0</v>
      </c>
      <c r="H1956" s="3" t="n">
        <v>0</v>
      </c>
    </row>
    <row r="1957" customFormat="false" ht="14.25" hidden="false" customHeight="true" outlineLevel="0" collapsed="false">
      <c r="A1957" s="1"/>
      <c r="B1957" s="1" t="s">
        <v>2100</v>
      </c>
      <c r="C1957" s="1" t="n">
        <v>2</v>
      </c>
      <c r="E1957" s="11" t="s">
        <v>119</v>
      </c>
      <c r="F1957" s="11" t="str">
        <f aca="false">IFERROR(__xludf.dummyfunction("GOOGLETRANSLATE(B1957,""en"",""ar"")"),"زجاجة")</f>
        <v>زجاجة</v>
      </c>
      <c r="G1957" s="3" t="n">
        <v>0</v>
      </c>
      <c r="H1957" s="3" t="n">
        <v>0</v>
      </c>
    </row>
    <row r="1958" customFormat="false" ht="14.25" hidden="false" customHeight="true" outlineLevel="0" collapsed="false">
      <c r="A1958" s="1"/>
      <c r="B1958" s="1" t="s">
        <v>2101</v>
      </c>
      <c r="C1958" s="1" t="n">
        <v>2</v>
      </c>
      <c r="E1958" s="11" t="s">
        <v>405</v>
      </c>
      <c r="F1958" s="11" t="str">
        <f aca="false">IFERROR(__xludf.dummyfunction("GOOGLETRANSLATE(B1958,""en"",""ar"")"),"شجاع")</f>
        <v>شجاع</v>
      </c>
      <c r="G1958" s="3" t="n">
        <v>0</v>
      </c>
      <c r="H1958" s="3" t="n">
        <v>0</v>
      </c>
    </row>
    <row r="1959" customFormat="false" ht="14.25" hidden="false" customHeight="true" outlineLevel="0" collapsed="false">
      <c r="A1959" s="1"/>
      <c r="B1959" s="1" t="s">
        <v>2102</v>
      </c>
      <c r="C1959" s="1" t="n">
        <v>2</v>
      </c>
      <c r="E1959" s="11" t="s">
        <v>79</v>
      </c>
      <c r="F1959" s="11" t="str">
        <f aca="false">IFERROR(__xludf.dummyfunction("GOOGLETRANSLATE(B1959,""en"",""ar"")"),"نفس")</f>
        <v>نفس</v>
      </c>
      <c r="G1959" s="3" t="n">
        <v>0</v>
      </c>
      <c r="H1959" s="3" t="n">
        <v>0</v>
      </c>
    </row>
    <row r="1960" customFormat="false" ht="14.25" hidden="false" customHeight="true" outlineLevel="0" collapsed="false">
      <c r="A1960" s="1"/>
      <c r="B1960" s="1" t="s">
        <v>2103</v>
      </c>
      <c r="C1960" s="1" t="n">
        <v>2</v>
      </c>
      <c r="E1960" s="11" t="s">
        <v>42</v>
      </c>
      <c r="F1960" s="11" t="str">
        <f aca="false">IFERROR(__xludf.dummyfunction("GOOGLETRANSLATE(B1960,""en"",""ar"")"),"باختصار")</f>
        <v>باختصار</v>
      </c>
      <c r="G1960" s="3" t="n">
        <v>0</v>
      </c>
      <c r="H1960" s="3" t="n">
        <v>0</v>
      </c>
    </row>
    <row r="1961" customFormat="false" ht="14.25" hidden="false" customHeight="true" outlineLevel="0" collapsed="false">
      <c r="A1961" s="1"/>
      <c r="B1961" s="1" t="s">
        <v>2104</v>
      </c>
      <c r="C1961" s="1" t="n">
        <v>2</v>
      </c>
      <c r="E1961" s="11" t="s">
        <v>79</v>
      </c>
      <c r="F1961" s="11" t="str">
        <f aca="false">IFERROR(__xludf.dummyfunction("GOOGLETRANSLATE(B1961,""en"",""ar"")"),"مشتر")</f>
        <v>مشتر</v>
      </c>
      <c r="G1961" s="3" t="n">
        <v>0</v>
      </c>
      <c r="H1961" s="3" t="n">
        <v>0</v>
      </c>
    </row>
    <row r="1962" customFormat="false" ht="14.25" hidden="false" customHeight="true" outlineLevel="0" collapsed="false">
      <c r="A1962" s="1"/>
      <c r="B1962" s="1" t="s">
        <v>2105</v>
      </c>
      <c r="C1962" s="1" t="n">
        <v>2</v>
      </c>
      <c r="E1962" s="11" t="s">
        <v>119</v>
      </c>
      <c r="F1962" s="11" t="str">
        <f aca="false">IFERROR(__xludf.dummyfunction("GOOGLETRANSLATE(B1962,""en"",""ar"")"),"كابل")</f>
        <v>كابل</v>
      </c>
      <c r="G1962" s="3" t="n">
        <v>0</v>
      </c>
      <c r="H1962" s="3" t="n">
        <v>0</v>
      </c>
    </row>
    <row r="1963" customFormat="false" ht="14.25" hidden="false" customHeight="true" outlineLevel="0" collapsed="false">
      <c r="A1963" s="1"/>
      <c r="B1963" s="1" t="s">
        <v>2106</v>
      </c>
      <c r="C1963" s="1" t="n">
        <v>2</v>
      </c>
      <c r="E1963" s="11" t="s">
        <v>405</v>
      </c>
      <c r="F1963" s="11" t="str">
        <f aca="false">IFERROR(__xludf.dummyfunction("GOOGLETRANSLATE(B1963,""en"",""ar"")"),"بارد الاعصاب")</f>
        <v>بارد الاعصاب</v>
      </c>
      <c r="G1963" s="3" t="n">
        <v>0</v>
      </c>
      <c r="H1963" s="3" t="n">
        <v>0</v>
      </c>
    </row>
    <row r="1964" customFormat="false" ht="14.25" hidden="false" customHeight="true" outlineLevel="0" collapsed="false">
      <c r="A1964" s="1"/>
      <c r="B1964" s="1" t="s">
        <v>2107</v>
      </c>
      <c r="C1964" s="1" t="n">
        <v>2</v>
      </c>
      <c r="E1964" s="11" t="s">
        <v>119</v>
      </c>
      <c r="F1964" s="11" t="str">
        <f aca="false">IFERROR(__xludf.dummyfunction("GOOGLETRANSLATE(B1964,""en"",""ar"")"),"شمعة")</f>
        <v>شمعة</v>
      </c>
      <c r="G1964" s="3" t="n">
        <v>0</v>
      </c>
      <c r="H1964" s="3" t="n">
        <v>0</v>
      </c>
    </row>
    <row r="1965" customFormat="false" ht="14.25" hidden="false" customHeight="true" outlineLevel="0" collapsed="false">
      <c r="A1965" s="1"/>
      <c r="B1965" s="1" t="s">
        <v>2108</v>
      </c>
      <c r="C1965" s="1" t="n">
        <v>2</v>
      </c>
      <c r="E1965" s="11" t="s">
        <v>12</v>
      </c>
      <c r="F1965" s="11" t="str">
        <f aca="false">IFERROR(__xludf.dummyfunction("GOOGLETRANSLATE(B1965,""en"",""ar"")"),"احتفل")</f>
        <v>احتفل</v>
      </c>
      <c r="G1965" s="3" t="n">
        <v>0</v>
      </c>
      <c r="H1965" s="3" t="n">
        <v>0</v>
      </c>
    </row>
    <row r="1966" customFormat="false" ht="14.25" hidden="false" customHeight="true" outlineLevel="0" collapsed="false">
      <c r="A1966" s="1"/>
      <c r="B1966" s="1" t="s">
        <v>2109</v>
      </c>
      <c r="C1966" s="1" t="n">
        <v>2</v>
      </c>
      <c r="E1966" s="11" t="s">
        <v>79</v>
      </c>
      <c r="F1966" s="11" t="str">
        <f aca="false">IFERROR(__xludf.dummyfunction("GOOGLETRANSLATE(B1966,""en"",""ar"")"),"صدر")</f>
        <v>صدر</v>
      </c>
      <c r="G1966" s="3" t="n">
        <v>0</v>
      </c>
      <c r="H1966" s="3" t="n">
        <v>0</v>
      </c>
    </row>
    <row r="1967" customFormat="false" ht="14.25" hidden="false" customHeight="true" outlineLevel="0" collapsed="false">
      <c r="A1967" s="1"/>
      <c r="B1967" s="1" t="s">
        <v>2110</v>
      </c>
      <c r="C1967" s="1" t="n">
        <v>2</v>
      </c>
      <c r="E1967" s="11" t="s">
        <v>79</v>
      </c>
      <c r="F1967" s="11" t="str">
        <f aca="false">IFERROR(__xludf.dummyfunction("GOOGLETRANSLATE(B1967,""en"",""ar"")"),"شوكولاتة")</f>
        <v>شوكولاتة</v>
      </c>
      <c r="G1967" s="3" t="n">
        <v>0</v>
      </c>
      <c r="H1967" s="3" t="n">
        <v>0</v>
      </c>
    </row>
    <row r="1968" customFormat="false" ht="14.25" hidden="false" customHeight="true" outlineLevel="0" collapsed="false">
      <c r="A1968" s="1"/>
      <c r="B1968" s="1" t="s">
        <v>2111</v>
      </c>
      <c r="C1968" s="1" t="n">
        <v>2</v>
      </c>
      <c r="E1968" s="11" t="s">
        <v>119</v>
      </c>
      <c r="F1968" s="11" t="str">
        <f aca="false">IFERROR(__xludf.dummyfunction("GOOGLETRANSLATE(B1968,""en"",""ar"")"),"كاتب ملفات")</f>
        <v>كاتب ملفات</v>
      </c>
      <c r="G1968" s="3" t="n">
        <v>0</v>
      </c>
      <c r="H1968" s="3" t="n">
        <v>0</v>
      </c>
    </row>
    <row r="1969" customFormat="false" ht="14.25" hidden="false" customHeight="true" outlineLevel="0" collapsed="false">
      <c r="A1969" s="1"/>
      <c r="B1969" s="1" t="s">
        <v>2112</v>
      </c>
      <c r="C1969" s="1" t="n">
        <v>2</v>
      </c>
      <c r="E1969" s="11" t="s">
        <v>119</v>
      </c>
      <c r="F1969" s="11" t="str">
        <f aca="false">IFERROR(__xludf.dummyfunction("GOOGLETRANSLATE(B1969,""en"",""ar"")"),"غيم")</f>
        <v>غيم</v>
      </c>
      <c r="G1969" s="3" t="n">
        <v>0</v>
      </c>
      <c r="H1969" s="3" t="n">
        <v>0</v>
      </c>
    </row>
    <row r="1970" customFormat="false" ht="14.25" hidden="false" customHeight="true" outlineLevel="0" collapsed="false">
      <c r="A1970" s="1"/>
      <c r="B1970" s="1" t="s">
        <v>2113</v>
      </c>
      <c r="C1970" s="1" t="n">
        <v>2</v>
      </c>
      <c r="E1970" s="11" t="s">
        <v>112</v>
      </c>
      <c r="F1970" s="11" t="str">
        <f aca="false">IFERROR(__xludf.dummyfunction("GOOGLETRANSLATE(B1970,""en"",""ar"")"),"شاملة")</f>
        <v>شاملة</v>
      </c>
      <c r="G1970" s="3" t="n">
        <v>0</v>
      </c>
      <c r="H1970" s="3" t="n">
        <v>0</v>
      </c>
    </row>
    <row r="1971" customFormat="false" ht="14.25" hidden="false" customHeight="true" outlineLevel="0" collapsed="false">
      <c r="A1971" s="1"/>
      <c r="B1971" s="1" t="s">
        <v>2114</v>
      </c>
      <c r="C1971" s="1" t="n">
        <v>2</v>
      </c>
      <c r="E1971" s="11" t="s">
        <v>94</v>
      </c>
      <c r="F1971" s="11" t="str">
        <f aca="false">IFERROR(__xludf.dummyfunction("GOOGLETRANSLATE(B1971,""en"",""ar"")"),"تركيز")</f>
        <v>تركيز</v>
      </c>
      <c r="G1971" s="3" t="n">
        <v>0</v>
      </c>
      <c r="H1971" s="3" t="n">
        <v>0</v>
      </c>
    </row>
    <row r="1972" customFormat="false" ht="14.25" hidden="false" customHeight="true" outlineLevel="0" collapsed="false">
      <c r="A1972" s="1"/>
      <c r="B1972" s="1" t="s">
        <v>2115</v>
      </c>
      <c r="C1972" s="1" t="n">
        <v>2</v>
      </c>
      <c r="E1972" s="11" t="s">
        <v>119</v>
      </c>
      <c r="F1972" s="11" t="str">
        <f aca="false">IFERROR(__xludf.dummyfunction("GOOGLETRANSLATE(B1972,""en"",""ar"")"),"حفلة موسيقية")</f>
        <v>حفلة موسيقية</v>
      </c>
      <c r="G1972" s="3" t="n">
        <v>0</v>
      </c>
      <c r="H1972" s="3" t="n">
        <v>0</v>
      </c>
    </row>
    <row r="1973" customFormat="false" ht="14.25" hidden="false" customHeight="true" outlineLevel="0" collapsed="false">
      <c r="A1973" s="1"/>
      <c r="B1973" s="1" t="s">
        <v>2116</v>
      </c>
      <c r="C1973" s="1" t="n">
        <v>2</v>
      </c>
      <c r="E1973" s="11" t="s">
        <v>79</v>
      </c>
      <c r="F1973" s="11" t="str">
        <f aca="false">IFERROR(__xludf.dummyfunction("GOOGLETRANSLATE(B1973,""en"",""ar"")"),"استنتاج")</f>
        <v>استنتاج</v>
      </c>
      <c r="G1973" s="3" t="n">
        <v>0</v>
      </c>
      <c r="H1973" s="3" t="n">
        <v>0</v>
      </c>
    </row>
    <row r="1974" customFormat="false" ht="14.25" hidden="false" customHeight="true" outlineLevel="0" collapsed="false">
      <c r="A1974" s="1"/>
      <c r="B1974" s="1" t="s">
        <v>2117</v>
      </c>
      <c r="C1974" s="1" t="n">
        <v>2</v>
      </c>
      <c r="E1974" s="11" t="s">
        <v>79</v>
      </c>
      <c r="F1974" s="11" t="str">
        <f aca="false">IFERROR(__xludf.dummyfunction("GOOGLETRANSLATE(B1974,""en"",""ar"")"),"مساهمة")</f>
        <v>مساهمة</v>
      </c>
      <c r="G1974" s="3" t="n">
        <v>0</v>
      </c>
      <c r="H1974" s="3" t="n">
        <v>0</v>
      </c>
    </row>
    <row r="1975" customFormat="false" ht="14.25" hidden="false" customHeight="true" outlineLevel="0" collapsed="false">
      <c r="A1975" s="1"/>
      <c r="B1975" s="1" t="s">
        <v>2118</v>
      </c>
      <c r="C1975" s="1" t="n">
        <v>2</v>
      </c>
      <c r="E1975" s="11" t="s">
        <v>12</v>
      </c>
      <c r="F1975" s="11" t="str">
        <f aca="false">IFERROR(__xludf.dummyfunction("GOOGLETRANSLATE(B1975,""en"",""ar"")"),"يقنع")</f>
        <v>يقنع</v>
      </c>
      <c r="G1975" s="3" t="n">
        <v>0</v>
      </c>
      <c r="H1975" s="3" t="n">
        <v>0</v>
      </c>
    </row>
    <row r="1976" customFormat="false" ht="14.25" hidden="false" customHeight="true" outlineLevel="0" collapsed="false">
      <c r="A1976" s="1"/>
      <c r="B1976" s="1" t="s">
        <v>2119</v>
      </c>
      <c r="C1976" s="1" t="n">
        <v>2</v>
      </c>
      <c r="E1976" s="11" t="s">
        <v>79</v>
      </c>
      <c r="F1976" s="11" t="str">
        <f aca="false">IFERROR(__xludf.dummyfunction("GOOGLETRANSLATE(B1976,""en"",""ar"")"),"بسكويت")</f>
        <v>بسكويت</v>
      </c>
      <c r="G1976" s="3" t="n">
        <v>0</v>
      </c>
      <c r="H1976" s="3" t="n">
        <v>0</v>
      </c>
    </row>
    <row r="1977" customFormat="false" ht="14.25" hidden="false" customHeight="true" outlineLevel="0" collapsed="false">
      <c r="A1977" s="1"/>
      <c r="B1977" s="1" t="s">
        <v>2120</v>
      </c>
      <c r="C1977" s="1" t="n">
        <v>2</v>
      </c>
      <c r="E1977" s="11" t="s">
        <v>2121</v>
      </c>
      <c r="F1977" s="11" t="str">
        <f aca="false">IFERROR(__xludf.dummyfunction("GOOGLETRANSLATE(B1977,""en"",""ar"")"),"عداد")</f>
        <v>عداد</v>
      </c>
      <c r="G1977" s="3" t="n">
        <v>0</v>
      </c>
      <c r="H1977" s="3" t="n">
        <v>0</v>
      </c>
    </row>
    <row r="1978" customFormat="false" ht="14.25" hidden="false" customHeight="true" outlineLevel="0" collapsed="false">
      <c r="A1978" s="1"/>
      <c r="B1978" s="1" t="s">
        <v>2122</v>
      </c>
      <c r="C1978" s="1" t="n">
        <v>2</v>
      </c>
      <c r="E1978" s="11" t="s">
        <v>79</v>
      </c>
      <c r="F1978" s="11" t="str">
        <f aca="false">IFERROR(__xludf.dummyfunction("GOOGLETRANSLATE(B1978,""en"",""ar"")"),"شجاعة")</f>
        <v>شجاعة</v>
      </c>
      <c r="G1978" s="3" t="n">
        <v>0</v>
      </c>
      <c r="H1978" s="3" t="n">
        <v>0</v>
      </c>
    </row>
    <row r="1979" customFormat="false" ht="14.25" hidden="false" customHeight="true" outlineLevel="0" collapsed="false">
      <c r="A1979" s="1"/>
      <c r="B1979" s="1" t="s">
        <v>2123</v>
      </c>
      <c r="C1979" s="1" t="n">
        <v>2</v>
      </c>
      <c r="E1979" s="11" t="s">
        <v>112</v>
      </c>
      <c r="F1979" s="11" t="str">
        <f aca="false">IFERROR(__xludf.dummyfunction("GOOGLETRANSLATE(B1979,""en"",""ar"")"),"فضولي")</f>
        <v>فضولي</v>
      </c>
      <c r="G1979" s="3" t="n">
        <v>0</v>
      </c>
      <c r="H1979" s="3" t="n">
        <v>0</v>
      </c>
    </row>
    <row r="1980" customFormat="false" ht="14.25" hidden="false" customHeight="true" outlineLevel="0" collapsed="false">
      <c r="A1980" s="1"/>
      <c r="B1980" s="1" t="s">
        <v>2124</v>
      </c>
      <c r="C1980" s="1" t="n">
        <v>2</v>
      </c>
      <c r="E1980" s="11" t="s">
        <v>79</v>
      </c>
      <c r="F1980" s="11" t="str">
        <f aca="false">IFERROR(__xludf.dummyfunction("GOOGLETRANSLATE(B1980,""en"",""ar"")"),"بابا")</f>
        <v>بابا</v>
      </c>
      <c r="G1980" s="3" t="n">
        <v>0</v>
      </c>
      <c r="H1980" s="3" t="n">
        <v>0</v>
      </c>
    </row>
    <row r="1981" customFormat="false" ht="14.25" hidden="false" customHeight="true" outlineLevel="0" collapsed="false">
      <c r="A1981" s="1"/>
      <c r="B1981" s="1" t="s">
        <v>2125</v>
      </c>
      <c r="C1981" s="1" t="n">
        <v>2</v>
      </c>
      <c r="E1981" s="11" t="s">
        <v>79</v>
      </c>
      <c r="F1981" s="11" t="str">
        <f aca="false">IFERROR(__xludf.dummyfunction("GOOGLETRANSLATE(B1981,""en"",""ar"")"),"طاولة مكتب")</f>
        <v>طاولة مكتب</v>
      </c>
      <c r="G1981" s="3" t="n">
        <v>0</v>
      </c>
      <c r="H1981" s="3" t="n">
        <v>0</v>
      </c>
    </row>
    <row r="1982" customFormat="false" ht="14.25" hidden="false" customHeight="true" outlineLevel="0" collapsed="false">
      <c r="A1982" s="1"/>
      <c r="B1982" s="1" t="s">
        <v>2126</v>
      </c>
      <c r="C1982" s="1" t="n">
        <v>2</v>
      </c>
      <c r="E1982" s="11" t="s">
        <v>179</v>
      </c>
      <c r="F1982" s="11" t="str">
        <f aca="false">IFERROR(__xludf.dummyfunction("GOOGLETRANSLATE(B1982,""en"",""ar"")"),"متسخ")</f>
        <v>متسخ</v>
      </c>
      <c r="G1982" s="3" t="n">
        <v>0</v>
      </c>
      <c r="H1982" s="3" t="n">
        <v>0</v>
      </c>
    </row>
    <row r="1983" customFormat="false" ht="14.25" hidden="false" customHeight="true" outlineLevel="0" collapsed="false">
      <c r="A1983" s="1"/>
      <c r="B1983" s="1" t="s">
        <v>2127</v>
      </c>
      <c r="C1983" s="1" t="n">
        <v>2</v>
      </c>
      <c r="E1983" s="11" t="s">
        <v>12</v>
      </c>
      <c r="F1983" s="11" t="str">
        <f aca="false">IFERROR(__xludf.dummyfunction("GOOGLETRANSLATE(B1983,""en"",""ar"")"),"تعارض")</f>
        <v>تعارض</v>
      </c>
      <c r="G1983" s="3" t="n">
        <v>0</v>
      </c>
      <c r="H1983" s="3" t="n">
        <v>0</v>
      </c>
    </row>
    <row r="1984" customFormat="false" ht="14.25" hidden="false" customHeight="true" outlineLevel="0" collapsed="false">
      <c r="A1984" s="1"/>
      <c r="B1984" s="1" t="s">
        <v>2128</v>
      </c>
      <c r="C1984" s="1" t="n">
        <v>2</v>
      </c>
      <c r="E1984" s="11" t="s">
        <v>336</v>
      </c>
      <c r="F1984" s="11" t="str">
        <f aca="false">IFERROR(__xludf.dummyfunction("GOOGLETRANSLATE(B1984,""en"",""ar"")"),"وسط البلد")</f>
        <v>وسط البلد</v>
      </c>
      <c r="G1984" s="3" t="n">
        <v>0</v>
      </c>
      <c r="H1984" s="3" t="n">
        <v>0</v>
      </c>
    </row>
    <row r="1985" customFormat="false" ht="14.25" hidden="false" customHeight="true" outlineLevel="0" collapsed="false">
      <c r="A1985" s="1"/>
      <c r="B1985" s="1" t="s">
        <v>2129</v>
      </c>
      <c r="C1985" s="1" t="n">
        <v>2</v>
      </c>
      <c r="E1985" s="11" t="s">
        <v>79</v>
      </c>
      <c r="F1985" s="11" t="str">
        <f aca="false">IFERROR(__xludf.dummyfunction("GOOGLETRANSLATE(B1985,""en"",""ar"")"),"الدرج")</f>
        <v>الدرج</v>
      </c>
      <c r="G1985" s="3" t="n">
        <v>0</v>
      </c>
      <c r="H1985" s="3" t="n">
        <v>0</v>
      </c>
    </row>
    <row r="1986" customFormat="false" ht="14.25" hidden="false" customHeight="true" outlineLevel="0" collapsed="false">
      <c r="A1986" s="1"/>
      <c r="B1986" s="1" t="s">
        <v>2130</v>
      </c>
      <c r="C1986" s="1" t="n">
        <v>2</v>
      </c>
      <c r="E1986" s="11" t="s">
        <v>12</v>
      </c>
      <c r="F1986" s="11" t="str">
        <f aca="false">IFERROR(__xludf.dummyfunction("GOOGLETRANSLATE(B1986,""en"",""ar"")"),"إنشاء")</f>
        <v>إنشاء</v>
      </c>
      <c r="G1986" s="3" t="n">
        <v>0</v>
      </c>
      <c r="H1986" s="3" t="n">
        <v>0</v>
      </c>
    </row>
    <row r="1987" customFormat="false" ht="14.25" hidden="false" customHeight="true" outlineLevel="0" collapsed="false">
      <c r="A1987" s="1"/>
      <c r="B1987" s="1" t="s">
        <v>2131</v>
      </c>
      <c r="C1987" s="1" t="n">
        <v>2</v>
      </c>
      <c r="E1987" s="11" t="s">
        <v>79</v>
      </c>
      <c r="F1987" s="11" t="str">
        <f aca="false">IFERROR(__xludf.dummyfunction("GOOGLETRANSLATE(B1987,""en"",""ar"")"),"مؤسسة")</f>
        <v>مؤسسة</v>
      </c>
      <c r="G1987" s="3" t="n">
        <v>0</v>
      </c>
      <c r="H1987" s="3" t="n">
        <v>0</v>
      </c>
    </row>
    <row r="1988" customFormat="false" ht="14.25" hidden="false" customHeight="true" outlineLevel="0" collapsed="false">
      <c r="A1988" s="1"/>
      <c r="B1988" s="1" t="s">
        <v>2132</v>
      </c>
      <c r="C1988" s="1" t="n">
        <v>2</v>
      </c>
      <c r="E1988" s="11" t="s">
        <v>94</v>
      </c>
      <c r="F1988" s="11" t="str">
        <f aca="false">IFERROR(__xludf.dummyfunction("GOOGLETRANSLATE(B1988,""en"",""ar"")"),"تقدير")</f>
        <v>تقدير</v>
      </c>
      <c r="G1988" s="3" t="n">
        <v>0</v>
      </c>
      <c r="H1988" s="3" t="n">
        <v>0</v>
      </c>
    </row>
    <row r="1989" customFormat="false" ht="14.25" hidden="false" customHeight="true" outlineLevel="0" collapsed="false">
      <c r="A1989" s="1"/>
      <c r="B1989" s="1" t="s">
        <v>2133</v>
      </c>
      <c r="C1989" s="1" t="n">
        <v>2</v>
      </c>
      <c r="E1989" s="11" t="s">
        <v>79</v>
      </c>
      <c r="F1989" s="11" t="str">
        <f aca="false">IFERROR(__xludf.dummyfunction("GOOGLETRANSLATE(B1989,""en"",""ar"")"),"فحص")</f>
        <v>فحص</v>
      </c>
      <c r="G1989" s="3" t="n">
        <v>0</v>
      </c>
      <c r="H1989" s="3" t="n">
        <v>0</v>
      </c>
    </row>
    <row r="1990" customFormat="false" ht="14.25" hidden="false" customHeight="true" outlineLevel="0" collapsed="false">
      <c r="A1990" s="1"/>
      <c r="B1990" s="1" t="s">
        <v>2134</v>
      </c>
      <c r="C1990" s="1" t="n">
        <v>2</v>
      </c>
      <c r="E1990" s="11" t="s">
        <v>119</v>
      </c>
      <c r="F1990" s="11" t="str">
        <f aca="false">IFERROR(__xludf.dummyfunction("GOOGLETRANSLATE(B1990,""en"",""ar"")"),"زهرة")</f>
        <v>زهرة</v>
      </c>
      <c r="G1990" s="3" t="n">
        <v>0</v>
      </c>
      <c r="H1990" s="3" t="n">
        <v>0</v>
      </c>
    </row>
    <row r="1991" customFormat="false" ht="14.25" hidden="false" customHeight="true" outlineLevel="0" collapsed="false">
      <c r="A1991" s="1"/>
      <c r="B1991" s="1" t="s">
        <v>2135</v>
      </c>
      <c r="C1991" s="1" t="n">
        <v>2</v>
      </c>
      <c r="E1991" s="11" t="s">
        <v>79</v>
      </c>
      <c r="F1991" s="11" t="str">
        <f aca="false">IFERROR(__xludf.dummyfunction("GOOGLETRANSLATE(B1991,""en"",""ar"")"),"قمامة")</f>
        <v>قمامة</v>
      </c>
      <c r="G1991" s="3" t="n">
        <v>0</v>
      </c>
      <c r="H1991" s="3" t="n">
        <v>0</v>
      </c>
    </row>
    <row r="1992" customFormat="false" ht="14.25" hidden="false" customHeight="true" outlineLevel="0" collapsed="false">
      <c r="A1992" s="1"/>
      <c r="B1992" s="1" t="s">
        <v>2136</v>
      </c>
      <c r="C1992" s="1" t="n">
        <v>2</v>
      </c>
      <c r="E1992" s="11" t="s">
        <v>235</v>
      </c>
      <c r="F1992" s="11" t="str">
        <f aca="false">IFERROR(__xludf.dummyfunction("GOOGLETRANSLATE(B1992,""en"",""ar"")"),"كبير")</f>
        <v>كبير</v>
      </c>
      <c r="G1992" s="3" t="n">
        <v>0</v>
      </c>
      <c r="H1992" s="3" t="n">
        <v>0</v>
      </c>
    </row>
    <row r="1993" customFormat="false" ht="14.25" hidden="false" customHeight="true" outlineLevel="0" collapsed="false">
      <c r="A1993" s="1"/>
      <c r="B1993" s="1" t="s">
        <v>2137</v>
      </c>
      <c r="C1993" s="1" t="n">
        <v>2</v>
      </c>
      <c r="E1993" s="11" t="s">
        <v>119</v>
      </c>
      <c r="F1993" s="11" t="str">
        <f aca="false">IFERROR(__xludf.dummyfunction("GOOGLETRANSLATE(B1993,""en"",""ar"")"),"جد")</f>
        <v>جد</v>
      </c>
      <c r="G1993" s="3" t="n">
        <v>0</v>
      </c>
      <c r="H1993" s="3" t="n">
        <v>0</v>
      </c>
    </row>
    <row r="1994" customFormat="false" ht="14.25" hidden="false" customHeight="true" outlineLevel="0" collapsed="false">
      <c r="A1994" s="1"/>
      <c r="B1994" s="1" t="s">
        <v>2138</v>
      </c>
      <c r="C1994" s="1" t="n">
        <v>2</v>
      </c>
      <c r="E1994" s="11" t="s">
        <v>79</v>
      </c>
      <c r="F1994" s="11" t="str">
        <f aca="false">IFERROR(__xludf.dummyfunction("GOOGLETRANSLATE(B1994,""en"",""ar"")"),"خضروات")</f>
        <v>خضروات</v>
      </c>
      <c r="G1994" s="3" t="n">
        <v>0</v>
      </c>
      <c r="H1994" s="3" t="n">
        <v>0</v>
      </c>
    </row>
    <row r="1995" customFormat="false" ht="14.25" hidden="false" customHeight="true" outlineLevel="0" collapsed="false">
      <c r="A1995" s="1"/>
      <c r="B1995" s="1" t="s">
        <v>2139</v>
      </c>
      <c r="C1995" s="1" t="n">
        <v>2</v>
      </c>
      <c r="E1995" s="11" t="s">
        <v>119</v>
      </c>
      <c r="F1995" s="11" t="str">
        <f aca="false">IFERROR(__xludf.dummyfunction("GOOGLETRANSLATE(B1995,""en"",""ar"")"),"ضرر")</f>
        <v>ضرر</v>
      </c>
      <c r="G1995" s="3" t="n">
        <v>0</v>
      </c>
      <c r="H1995" s="3" t="n">
        <v>0</v>
      </c>
    </row>
    <row r="1996" customFormat="false" ht="14.25" hidden="false" customHeight="true" outlineLevel="0" collapsed="false">
      <c r="A1996" s="1"/>
      <c r="B1996" s="1" t="s">
        <v>2140</v>
      </c>
      <c r="C1996" s="1" t="n">
        <v>2</v>
      </c>
      <c r="E1996" s="11" t="s">
        <v>50</v>
      </c>
      <c r="F1996" s="11" t="str">
        <f aca="false">IFERROR(__xludf.dummyfunction("GOOGLETRANSLATE(B1996,""en"",""ar"")"),"صادق")</f>
        <v>صادق</v>
      </c>
      <c r="G1996" s="3" t="n">
        <v>0</v>
      </c>
      <c r="H1996" s="3" t="n">
        <v>0</v>
      </c>
    </row>
    <row r="1997" customFormat="false" ht="14.25" hidden="false" customHeight="true" outlineLevel="0" collapsed="false">
      <c r="A1997" s="1"/>
      <c r="B1997" s="1" t="s">
        <v>2141</v>
      </c>
      <c r="C1997" s="1" t="n">
        <v>2</v>
      </c>
      <c r="E1997" s="11" t="s">
        <v>79</v>
      </c>
      <c r="F1997" s="11" t="str">
        <f aca="false">IFERROR(__xludf.dummyfunction("GOOGLETRANSLATE(B1997,""en"",""ar"")"),"عسل")</f>
        <v>عسل</v>
      </c>
      <c r="G1997" s="3" t="n">
        <v>0</v>
      </c>
      <c r="H1997" s="3" t="n">
        <v>0</v>
      </c>
    </row>
    <row r="1998" customFormat="false" ht="14.25" hidden="false" customHeight="true" outlineLevel="0" collapsed="false">
      <c r="A1998" s="1"/>
      <c r="B1998" s="1" t="s">
        <v>2142</v>
      </c>
      <c r="C1998" s="1" t="n">
        <v>2</v>
      </c>
      <c r="E1998" s="11" t="s">
        <v>12</v>
      </c>
      <c r="F1998" s="11" t="str">
        <f aca="false">IFERROR(__xludf.dummyfunction("GOOGLETRANSLATE(B1998,""en"",""ar"")"),"يتجاهل")</f>
        <v>يتجاهل</v>
      </c>
      <c r="G1998" s="3" t="n">
        <v>0</v>
      </c>
      <c r="H1998" s="3" t="n">
        <v>0</v>
      </c>
    </row>
    <row r="1999" customFormat="false" ht="14.25" hidden="false" customHeight="true" outlineLevel="0" collapsed="false">
      <c r="A1999" s="1"/>
      <c r="B1999" s="1" t="s">
        <v>2143</v>
      </c>
      <c r="C1999" s="1" t="n">
        <v>2</v>
      </c>
      <c r="E1999" s="11" t="s">
        <v>12</v>
      </c>
      <c r="F1999" s="11" t="str">
        <f aca="false">IFERROR(__xludf.dummyfunction("GOOGLETRANSLATE(B1999,""en"",""ar"")"),"لمح")</f>
        <v>لمح</v>
      </c>
      <c r="G1999" s="3" t="n">
        <v>0</v>
      </c>
      <c r="H1999" s="3" t="n">
        <v>0</v>
      </c>
    </row>
    <row r="2000" customFormat="false" ht="14.25" hidden="false" customHeight="true" outlineLevel="0" collapsed="false">
      <c r="A2000" s="1"/>
      <c r="B2000" s="1" t="s">
        <v>2144</v>
      </c>
      <c r="C2000" s="1" t="n">
        <v>2</v>
      </c>
      <c r="E2000" s="11" t="s">
        <v>79</v>
      </c>
      <c r="F2000" s="11" t="str">
        <f aca="false">IFERROR(__xludf.dummyfunction("GOOGLETRANSLATE(B2000,""en"",""ar"")"),"انطباع")</f>
        <v>انطباع</v>
      </c>
      <c r="G2000" s="3" t="n">
        <v>0</v>
      </c>
      <c r="H2000" s="3" t="n">
        <v>0</v>
      </c>
    </row>
    <row r="2001" customFormat="false" ht="14.25" hidden="false" customHeight="true" outlineLevel="0" collapsed="false">
      <c r="A2001" s="1"/>
      <c r="B2001" s="1" t="s">
        <v>2145</v>
      </c>
      <c r="C2001" s="1" t="n">
        <v>2</v>
      </c>
      <c r="E2001" s="11" t="s">
        <v>112</v>
      </c>
      <c r="F2001" s="11" t="str">
        <f aca="false">IFERROR(__xludf.dummyfunction("GOOGLETRANSLATE(B2001,""en"",""ar"")"),"بديع")</f>
        <v>بديع</v>
      </c>
      <c r="G2001" s="3" t="n">
        <v>0</v>
      </c>
      <c r="H2001" s="3" t="n">
        <v>0</v>
      </c>
    </row>
    <row r="2002" customFormat="false" ht="14.25" hidden="false" customHeight="true" outlineLevel="0" collapsed="false">
      <c r="A2002" s="1"/>
      <c r="B2002" s="1" t="s">
        <v>2146</v>
      </c>
      <c r="C2002" s="1" t="n">
        <v>2</v>
      </c>
      <c r="E2002" s="11" t="s">
        <v>79</v>
      </c>
      <c r="F2002" s="11" t="str">
        <f aca="false">IFERROR(__xludf.dummyfunction("GOOGLETRANSLATE(B2002,""en"",""ar"")"),"تحسين")</f>
        <v>تحسين</v>
      </c>
      <c r="G2002" s="3" t="n">
        <v>0</v>
      </c>
      <c r="H2002" s="3" t="n">
        <v>0</v>
      </c>
    </row>
    <row r="2003" customFormat="false" ht="14.25" hidden="false" customHeight="true" outlineLevel="0" collapsed="false">
      <c r="A2003" s="1"/>
      <c r="B2003" s="1" t="s">
        <v>2147</v>
      </c>
      <c r="C2003" s="1" t="n">
        <v>2</v>
      </c>
      <c r="E2003" s="11" t="s">
        <v>79</v>
      </c>
      <c r="F2003" s="11" t="str">
        <f aca="false">IFERROR(__xludf.dummyfunction("GOOGLETRANSLATE(B2003,""en"",""ar"")"),"استقلال")</f>
        <v>استقلال</v>
      </c>
      <c r="G2003" s="3" t="n">
        <v>0</v>
      </c>
      <c r="H2003" s="3" t="n">
        <v>0</v>
      </c>
    </row>
    <row r="2004" customFormat="false" ht="14.25" hidden="false" customHeight="true" outlineLevel="0" collapsed="false">
      <c r="A2004" s="1"/>
      <c r="B2004" s="1" t="s">
        <v>2148</v>
      </c>
      <c r="C2004" s="1" t="n">
        <v>2</v>
      </c>
      <c r="E2004" s="11" t="s">
        <v>112</v>
      </c>
      <c r="F2004" s="11" t="str">
        <f aca="false">IFERROR(__xludf.dummyfunction("GOOGLETRANSLATE(B2004,""en"",""ar"")"),"غير رسمي")</f>
        <v>غير رسمي</v>
      </c>
      <c r="G2004" s="3" t="n">
        <v>0</v>
      </c>
      <c r="H2004" s="3" t="n">
        <v>0</v>
      </c>
    </row>
    <row r="2005" customFormat="false" ht="14.25" hidden="false" customHeight="true" outlineLevel="0" collapsed="false">
      <c r="A2005" s="1"/>
      <c r="B2005" s="1" t="s">
        <v>2149</v>
      </c>
      <c r="C2005" s="1" t="n">
        <v>2</v>
      </c>
      <c r="E2005" s="11" t="s">
        <v>112</v>
      </c>
      <c r="F2005" s="11" t="str">
        <f aca="false">IFERROR(__xludf.dummyfunction("GOOGLETRANSLATE(B2005,""en"",""ar"")"),"داخلي")</f>
        <v>داخلي</v>
      </c>
      <c r="G2005" s="3" t="n">
        <v>0</v>
      </c>
      <c r="H2005" s="3" t="n">
        <v>0</v>
      </c>
    </row>
    <row r="2006" customFormat="false" ht="14.25" hidden="false" customHeight="true" outlineLevel="0" collapsed="false">
      <c r="A2006" s="1"/>
      <c r="B2006" s="1" t="s">
        <v>2150</v>
      </c>
      <c r="C2006" s="1" t="n">
        <v>2</v>
      </c>
      <c r="E2006" s="11" t="s">
        <v>79</v>
      </c>
      <c r="F2006" s="11" t="str">
        <f aca="false">IFERROR(__xludf.dummyfunction("GOOGLETRANSLATE(B2006,""en"",""ar"")"),"حشرة")</f>
        <v>حشرة</v>
      </c>
      <c r="G2006" s="3" t="n">
        <v>0</v>
      </c>
      <c r="H2006" s="3" t="n">
        <v>0</v>
      </c>
    </row>
    <row r="2007" customFormat="false" ht="14.25" hidden="false" customHeight="true" outlineLevel="0" collapsed="false">
      <c r="A2007" s="1"/>
      <c r="B2007" s="1" t="s">
        <v>2151</v>
      </c>
      <c r="C2007" s="1" t="n">
        <v>2</v>
      </c>
      <c r="E2007" s="11" t="s">
        <v>12</v>
      </c>
      <c r="F2007" s="11" t="str">
        <f aca="false">IFERROR(__xludf.dummyfunction("GOOGLETRANSLATE(B2007,""en"",""ar"")"),"يصر")</f>
        <v>يصر</v>
      </c>
      <c r="G2007" s="3" t="n">
        <v>0</v>
      </c>
      <c r="H2007" s="3" t="n">
        <v>0</v>
      </c>
    </row>
    <row r="2008" customFormat="false" ht="14.25" hidden="false" customHeight="true" outlineLevel="0" collapsed="false">
      <c r="A2008" s="1"/>
      <c r="B2008" s="1" t="s">
        <v>2152</v>
      </c>
      <c r="C2008" s="1" t="n">
        <v>2</v>
      </c>
      <c r="E2008" s="11" t="s">
        <v>79</v>
      </c>
      <c r="F2008" s="11" t="str">
        <f aca="false">IFERROR(__xludf.dummyfunction("GOOGLETRANSLATE(B2008,""en"",""ar"")"),"تفتيش")</f>
        <v>تفتيش</v>
      </c>
      <c r="G2008" s="3" t="n">
        <v>0</v>
      </c>
      <c r="H2008" s="3" t="n">
        <v>0</v>
      </c>
    </row>
    <row r="2009" customFormat="false" ht="14.25" hidden="false" customHeight="true" outlineLevel="0" collapsed="false">
      <c r="A2009" s="1"/>
      <c r="B2009" s="1" t="s">
        <v>2153</v>
      </c>
      <c r="C2009" s="1" t="n">
        <v>2</v>
      </c>
      <c r="E2009" s="11" t="s">
        <v>79</v>
      </c>
      <c r="F2009" s="11" t="str">
        <f aca="false">IFERROR(__xludf.dummyfunction("GOOGLETRANSLATE(B2009,""en"",""ar"")"),"مفتش")</f>
        <v>مفتش</v>
      </c>
      <c r="G2009" s="3" t="n">
        <v>0</v>
      </c>
      <c r="H2009" s="3" t="n">
        <v>0</v>
      </c>
    </row>
    <row r="2010" customFormat="false" ht="14.25" hidden="false" customHeight="true" outlineLevel="0" collapsed="false">
      <c r="A2010" s="1"/>
      <c r="B2010" s="1" t="s">
        <v>2154</v>
      </c>
      <c r="C2010" s="1" t="n">
        <v>2</v>
      </c>
      <c r="E2010" s="11" t="s">
        <v>79</v>
      </c>
      <c r="F2010" s="11" t="str">
        <f aca="false">IFERROR(__xludf.dummyfunction("GOOGLETRANSLATE(B2010,""en"",""ar"")"),"ملك")</f>
        <v>ملك</v>
      </c>
      <c r="G2010" s="3" t="n">
        <v>0</v>
      </c>
      <c r="H2010" s="3" t="n">
        <v>0</v>
      </c>
    </row>
    <row r="2011" customFormat="false" ht="14.25" hidden="false" customHeight="true" outlineLevel="0" collapsed="false">
      <c r="A2011" s="1"/>
      <c r="B2011" s="1" t="s">
        <v>2155</v>
      </c>
      <c r="C2011" s="1" t="n">
        <v>2</v>
      </c>
      <c r="E2011" s="11" t="s">
        <v>119</v>
      </c>
      <c r="F2011" s="11" t="str">
        <f aca="false">IFERROR(__xludf.dummyfunction("GOOGLETRANSLATE(B2011,""en"",""ar"")"),"ركبة")</f>
        <v>ركبة</v>
      </c>
      <c r="G2011" s="3" t="n">
        <v>0</v>
      </c>
      <c r="H2011" s="3" t="n">
        <v>0</v>
      </c>
    </row>
    <row r="2012" customFormat="false" ht="14.25" hidden="false" customHeight="true" outlineLevel="0" collapsed="false">
      <c r="A2012" s="1"/>
      <c r="B2012" s="1" t="s">
        <v>2156</v>
      </c>
      <c r="C2012" s="1" t="n">
        <v>2</v>
      </c>
      <c r="E2012" s="11" t="s">
        <v>79</v>
      </c>
      <c r="F2012" s="11" t="str">
        <f aca="false">IFERROR(__xludf.dummyfunction("GOOGLETRANSLATE(B2012,""en"",""ar"")"),"سلم")</f>
        <v>سلم</v>
      </c>
      <c r="G2012" s="3" t="n">
        <v>0</v>
      </c>
      <c r="H2012" s="3" t="n">
        <v>0</v>
      </c>
    </row>
    <row r="2013" customFormat="false" ht="14.25" hidden="false" customHeight="true" outlineLevel="0" collapsed="false">
      <c r="A2013" s="1"/>
      <c r="B2013" s="1" t="s">
        <v>2157</v>
      </c>
      <c r="C2013" s="1" t="n">
        <v>2</v>
      </c>
      <c r="E2013" s="11" t="s">
        <v>119</v>
      </c>
      <c r="F2013" s="11" t="str">
        <f aca="false">IFERROR(__xludf.dummyfunction("GOOGLETRANSLATE(B2013,""en"",""ar"")"),"محامي")</f>
        <v>محامي</v>
      </c>
      <c r="G2013" s="3" t="n">
        <v>0</v>
      </c>
      <c r="H2013" s="3" t="n">
        <v>0</v>
      </c>
    </row>
    <row r="2014" customFormat="false" ht="14.25" hidden="false" customHeight="true" outlineLevel="0" collapsed="false">
      <c r="A2014" s="1"/>
      <c r="B2014" s="1" t="s">
        <v>2158</v>
      </c>
      <c r="C2014" s="1" t="n">
        <v>2</v>
      </c>
      <c r="E2014" s="11" t="s">
        <v>83</v>
      </c>
      <c r="F2014" s="11" t="str">
        <f aca="false">IFERROR(__xludf.dummyfunction("GOOGLETRANSLATE(B2014,""en"",""ar"")"),"جلد")</f>
        <v>جلد</v>
      </c>
      <c r="G2014" s="3" t="n">
        <v>0</v>
      </c>
      <c r="H2014" s="3" t="n">
        <v>0</v>
      </c>
    </row>
    <row r="2015" customFormat="false" ht="14.25" hidden="false" customHeight="true" outlineLevel="0" collapsed="false">
      <c r="A2015" s="1"/>
      <c r="B2015" s="1" t="s">
        <v>2159</v>
      </c>
      <c r="C2015" s="1" t="n">
        <v>2</v>
      </c>
      <c r="E2015" s="11" t="s">
        <v>119</v>
      </c>
      <c r="F2015" s="11" t="str">
        <f aca="false">IFERROR(__xludf.dummyfunction("GOOGLETRANSLATE(B2015,""en"",""ar"")"),"حمل")</f>
        <v>حمل</v>
      </c>
      <c r="G2015" s="3" t="n">
        <v>0</v>
      </c>
      <c r="H2015" s="3" t="n">
        <v>0</v>
      </c>
    </row>
    <row r="2016" customFormat="false" ht="14.25" hidden="false" customHeight="true" outlineLevel="0" collapsed="false">
      <c r="A2016" s="1"/>
      <c r="B2016" s="1" t="s">
        <v>2160</v>
      </c>
      <c r="C2016" s="1" t="n">
        <v>2</v>
      </c>
      <c r="E2016" s="11" t="s">
        <v>179</v>
      </c>
      <c r="F2016" s="11" t="str">
        <f aca="false">IFERROR(__xludf.dummyfunction("GOOGLETRANSLATE(B2016,""en"",""ar"")"),"واسع")</f>
        <v>واسع</v>
      </c>
      <c r="G2016" s="3" t="n">
        <v>0</v>
      </c>
      <c r="H2016" s="3" t="n">
        <v>0</v>
      </c>
    </row>
    <row r="2017" customFormat="false" ht="14.25" hidden="false" customHeight="true" outlineLevel="0" collapsed="false">
      <c r="A2017" s="1"/>
      <c r="B2017" s="1" t="s">
        <v>2161</v>
      </c>
      <c r="C2017" s="1" t="n">
        <v>2</v>
      </c>
      <c r="E2017" s="11" t="s">
        <v>235</v>
      </c>
      <c r="F2017" s="11" t="str">
        <f aca="false">IFERROR(__xludf.dummyfunction("GOOGLETRANSLATE(B2017,""en"",""ar"")"),"الذكر")</f>
        <v>الذكر</v>
      </c>
      <c r="G2017" s="3" t="n">
        <v>0</v>
      </c>
      <c r="H2017" s="3" t="n">
        <v>0</v>
      </c>
    </row>
    <row r="2018" customFormat="false" ht="14.25" hidden="false" customHeight="true" outlineLevel="0" collapsed="false">
      <c r="A2018" s="1"/>
      <c r="B2018" s="1" t="s">
        <v>2162</v>
      </c>
      <c r="C2018" s="1" t="n">
        <v>2</v>
      </c>
      <c r="E2018" s="11" t="s">
        <v>79</v>
      </c>
      <c r="F2018" s="11" t="str">
        <f aca="false">IFERROR(__xludf.dummyfunction("GOOGLETRANSLATE(B2018,""en"",""ar"")"),"قائمة")</f>
        <v>قائمة</v>
      </c>
      <c r="G2018" s="3" t="n">
        <v>0</v>
      </c>
      <c r="H2018" s="3" t="n">
        <v>0</v>
      </c>
    </row>
    <row r="2019" customFormat="false" ht="14.25" hidden="false" customHeight="true" outlineLevel="0" collapsed="false">
      <c r="A2019" s="1"/>
      <c r="B2019" s="1" t="s">
        <v>2163</v>
      </c>
      <c r="C2019" s="1" t="n">
        <v>2</v>
      </c>
      <c r="E2019" s="11" t="s">
        <v>2164</v>
      </c>
      <c r="F2019" s="11" t="str">
        <f aca="false">IFERROR(__xludf.dummyfunction("GOOGLETRANSLATE(B2019,""en"",""ar"")"),"الخاص بي")</f>
        <v>الخاص بي</v>
      </c>
      <c r="G2019" s="3" t="n">
        <v>0</v>
      </c>
      <c r="H2019" s="3" t="n">
        <v>0</v>
      </c>
    </row>
    <row r="2020" customFormat="false" ht="14.25" hidden="false" customHeight="true" outlineLevel="0" collapsed="false">
      <c r="A2020" s="1"/>
      <c r="B2020" s="1" t="s">
        <v>2165</v>
      </c>
      <c r="C2020" s="1" t="n">
        <v>2</v>
      </c>
      <c r="E2020" s="11" t="s">
        <v>119</v>
      </c>
      <c r="F2020" s="11" t="str">
        <f aca="false">IFERROR(__xludf.dummyfunction("GOOGLETRANSLATE(B2020,""en"",""ar"")"),"مرآة")</f>
        <v>مرآة</v>
      </c>
      <c r="G2020" s="3" t="n">
        <v>0</v>
      </c>
      <c r="H2020" s="3" t="n">
        <v>0</v>
      </c>
    </row>
    <row r="2021" customFormat="false" ht="14.25" hidden="false" customHeight="true" outlineLevel="0" collapsed="false">
      <c r="A2021" s="1"/>
      <c r="B2021" s="1" t="s">
        <v>2166</v>
      </c>
      <c r="C2021" s="1" t="n">
        <v>2</v>
      </c>
      <c r="E2021" s="11" t="s">
        <v>42</v>
      </c>
      <c r="F2021" s="11" t="str">
        <f aca="false">IFERROR(__xludf.dummyfunction("GOOGLETRANSLATE(B2021,""en"",""ar"")"),"وعلاوة على ذلك")</f>
        <v>وعلاوة على ذلك</v>
      </c>
      <c r="G2021" s="3" t="n">
        <v>0</v>
      </c>
      <c r="H2021" s="3" t="n">
        <v>0</v>
      </c>
    </row>
    <row r="2022" customFormat="false" ht="14.25" hidden="false" customHeight="true" outlineLevel="0" collapsed="false">
      <c r="A2022" s="1"/>
      <c r="B2022" s="1" t="s">
        <v>2167</v>
      </c>
      <c r="C2022" s="1" t="n">
        <v>2</v>
      </c>
      <c r="E2022" s="11" t="s">
        <v>119</v>
      </c>
      <c r="F2022" s="11" t="str">
        <f aca="false">IFERROR(__xludf.dummyfunction("GOOGLETRANSLATE(B2022,""en"",""ar"")"),"رقبه")</f>
        <v>رقبه</v>
      </c>
      <c r="G2022" s="3" t="n">
        <v>0</v>
      </c>
      <c r="H2022" s="3" t="n">
        <v>0</v>
      </c>
    </row>
    <row r="2023" customFormat="false" ht="14.25" hidden="false" customHeight="true" outlineLevel="0" collapsed="false">
      <c r="A2023" s="1"/>
      <c r="B2023" s="1" t="s">
        <v>2168</v>
      </c>
      <c r="C2023" s="1" t="n">
        <v>2</v>
      </c>
      <c r="E2023" s="11" t="s">
        <v>79</v>
      </c>
      <c r="F2023" s="11" t="str">
        <f aca="false">IFERROR(__xludf.dummyfunction("GOOGLETRANSLATE(B2023,""en"",""ar"")"),"ضربة جزاء")</f>
        <v>ضربة جزاء</v>
      </c>
      <c r="G2023" s="3" t="n">
        <v>0</v>
      </c>
      <c r="H2023" s="3" t="n">
        <v>0</v>
      </c>
    </row>
    <row r="2024" customFormat="false" ht="14.25" hidden="false" customHeight="true" outlineLevel="0" collapsed="false">
      <c r="A2024" s="1"/>
      <c r="B2024" s="1" t="s">
        <v>2169</v>
      </c>
      <c r="C2024" s="1" t="n">
        <v>2</v>
      </c>
      <c r="E2024" s="11" t="s">
        <v>119</v>
      </c>
      <c r="F2024" s="11" t="str">
        <f aca="false">IFERROR(__xludf.dummyfunction("GOOGLETRANSLATE(B2024,""en"",""ar"")"),"راتب تقاعد")</f>
        <v>راتب تقاعد</v>
      </c>
      <c r="G2024" s="3" t="n">
        <v>0</v>
      </c>
      <c r="H2024" s="3" t="n">
        <v>0</v>
      </c>
    </row>
    <row r="2025" customFormat="false" ht="14.25" hidden="false" customHeight="true" outlineLevel="0" collapsed="false">
      <c r="A2025" s="1"/>
      <c r="B2025" s="1" t="s">
        <v>2170</v>
      </c>
      <c r="C2025" s="1" t="n">
        <v>2</v>
      </c>
      <c r="E2025" s="11" t="s">
        <v>79</v>
      </c>
      <c r="F2025" s="11" t="str">
        <f aca="false">IFERROR(__xludf.dummyfunction("GOOGLETRANSLATE(B2025,""en"",""ar"")"),"بيانو")</f>
        <v>بيانو</v>
      </c>
      <c r="G2025" s="3" t="n">
        <v>0</v>
      </c>
      <c r="H2025" s="3" t="n">
        <v>0</v>
      </c>
    </row>
    <row r="2026" customFormat="false" ht="14.25" hidden="false" customHeight="true" outlineLevel="0" collapsed="false">
      <c r="A2026" s="1"/>
      <c r="B2026" s="1" t="s">
        <v>2171</v>
      </c>
      <c r="C2026" s="1" t="n">
        <v>2</v>
      </c>
      <c r="E2026" s="11" t="s">
        <v>119</v>
      </c>
      <c r="F2026" s="11" t="str">
        <f aca="false">IFERROR(__xludf.dummyfunction("GOOGLETRANSLATE(B2026,""en"",""ar"")"),"طبق")</f>
        <v>طبق</v>
      </c>
      <c r="G2026" s="3" t="n">
        <v>0</v>
      </c>
      <c r="H2026" s="3" t="n">
        <v>0</v>
      </c>
    </row>
    <row r="2027" customFormat="false" ht="14.25" hidden="false" customHeight="true" outlineLevel="0" collapsed="false">
      <c r="A2027" s="1"/>
      <c r="B2027" s="1" t="s">
        <v>2172</v>
      </c>
      <c r="C2027" s="1" t="n">
        <v>2</v>
      </c>
      <c r="E2027" s="11" t="s">
        <v>112</v>
      </c>
      <c r="F2027" s="11" t="str">
        <f aca="false">IFERROR(__xludf.dummyfunction("GOOGLETRANSLATE(B2027,""en"",""ar"")"),"جذاب")</f>
        <v>جذاب</v>
      </c>
      <c r="G2027" s="3" t="n">
        <v>0</v>
      </c>
      <c r="H2027" s="3" t="n">
        <v>0</v>
      </c>
    </row>
    <row r="2028" customFormat="false" ht="14.25" hidden="false" customHeight="true" outlineLevel="0" collapsed="false">
      <c r="A2028" s="1"/>
      <c r="B2028" s="1" t="s">
        <v>2173</v>
      </c>
      <c r="C2028" s="1" t="n">
        <v>2</v>
      </c>
      <c r="E2028" s="11" t="s">
        <v>87</v>
      </c>
      <c r="F2028" s="11" t="str">
        <f aca="false">IFERROR(__xludf.dummyfunction("GOOGLETRANSLATE(B2028,""en"",""ar"")"),"مسرور")</f>
        <v>مسرور</v>
      </c>
      <c r="G2028" s="3" t="n">
        <v>0</v>
      </c>
      <c r="H2028" s="3" t="n">
        <v>0</v>
      </c>
    </row>
    <row r="2029" customFormat="false" ht="14.25" hidden="false" customHeight="true" outlineLevel="0" collapsed="false">
      <c r="A2029" s="1"/>
      <c r="B2029" s="1" t="s">
        <v>2174</v>
      </c>
      <c r="C2029" s="1" t="n">
        <v>2</v>
      </c>
      <c r="E2029" s="11" t="s">
        <v>79</v>
      </c>
      <c r="F2029" s="11" t="str">
        <f aca="false">IFERROR(__xludf.dummyfunction("GOOGLETRANSLATE(B2029,""en"",""ar"")"),"البطاطس")</f>
        <v>البطاطس</v>
      </c>
      <c r="G2029" s="3" t="n">
        <v>0</v>
      </c>
      <c r="H2029" s="3" t="n">
        <v>0</v>
      </c>
    </row>
    <row r="2030" customFormat="false" ht="14.25" hidden="false" customHeight="true" outlineLevel="0" collapsed="false">
      <c r="A2030" s="1"/>
      <c r="B2030" s="1" t="s">
        <v>2175</v>
      </c>
      <c r="C2030" s="1" t="n">
        <v>2</v>
      </c>
      <c r="E2030" s="11" t="s">
        <v>79</v>
      </c>
      <c r="F2030" s="11" t="str">
        <f aca="false">IFERROR(__xludf.dummyfunction("GOOGLETRANSLATE(B2030,""en"",""ar"")"),"مهنة")</f>
        <v>مهنة</v>
      </c>
      <c r="G2030" s="3" t="n">
        <v>0</v>
      </c>
      <c r="H2030" s="3" t="n">
        <v>0</v>
      </c>
    </row>
    <row r="2031" customFormat="false" ht="14.25" hidden="false" customHeight="true" outlineLevel="0" collapsed="false">
      <c r="A2031" s="1"/>
      <c r="B2031" s="1" t="s">
        <v>2176</v>
      </c>
      <c r="C2031" s="1" t="n">
        <v>2</v>
      </c>
      <c r="E2031" s="11" t="s">
        <v>79</v>
      </c>
      <c r="F2031" s="11" t="str">
        <f aca="false">IFERROR(__xludf.dummyfunction("GOOGLETRANSLATE(B2031,""en"",""ar"")"),"دكتور جامعى")</f>
        <v>دكتور جامعى</v>
      </c>
      <c r="G2031" s="3" t="n">
        <v>0</v>
      </c>
      <c r="H2031" s="3" t="n">
        <v>0</v>
      </c>
    </row>
    <row r="2032" customFormat="false" ht="14.25" hidden="false" customHeight="true" outlineLevel="0" collapsed="false">
      <c r="A2032" s="1"/>
      <c r="B2032" s="1" t="s">
        <v>2177</v>
      </c>
      <c r="C2032" s="1" t="n">
        <v>2</v>
      </c>
      <c r="E2032" s="11" t="s">
        <v>324</v>
      </c>
      <c r="F2032" s="11" t="str">
        <f aca="false">IFERROR(__xludf.dummyfunction("GOOGLETRANSLATE(B2032,""en"",""ar"")"),"استدعى")</f>
        <v>استدعى</v>
      </c>
      <c r="G2032" s="3" t="n">
        <v>0</v>
      </c>
      <c r="H2032" s="3" t="n">
        <v>0</v>
      </c>
    </row>
    <row r="2033" customFormat="false" ht="14.25" hidden="false" customHeight="true" outlineLevel="0" collapsed="false">
      <c r="A2033" s="1"/>
      <c r="B2033" s="1" t="s">
        <v>2178</v>
      </c>
      <c r="C2033" s="1" t="n">
        <v>2</v>
      </c>
      <c r="E2033" s="11" t="s">
        <v>87</v>
      </c>
      <c r="F2033" s="11" t="str">
        <f aca="false">IFERROR(__xludf.dummyfunction("GOOGLETRANSLATE(B2033,""en"",""ar"")"),"مقترح")</f>
        <v>مقترح</v>
      </c>
      <c r="G2033" s="3" t="n">
        <v>0</v>
      </c>
      <c r="H2033" s="3" t="n">
        <v>0</v>
      </c>
    </row>
    <row r="2034" customFormat="false" ht="14.25" hidden="false" customHeight="true" outlineLevel="0" collapsed="false">
      <c r="A2034" s="1"/>
      <c r="B2034" s="1" t="s">
        <v>2179</v>
      </c>
      <c r="C2034" s="1" t="n">
        <v>2</v>
      </c>
      <c r="E2034" s="11" t="s">
        <v>83</v>
      </c>
      <c r="F2034" s="11" t="str">
        <f aca="false">IFERROR(__xludf.dummyfunction("GOOGLETRANSLATE(B2034,""en"",""ar"")"),"نفسجي")</f>
        <v>نفسجي</v>
      </c>
      <c r="G2034" s="3" t="n">
        <v>0</v>
      </c>
      <c r="H2034" s="3" t="n">
        <v>0</v>
      </c>
    </row>
    <row r="2035" customFormat="false" ht="14.25" hidden="false" customHeight="true" outlineLevel="0" collapsed="false">
      <c r="A2035" s="1"/>
      <c r="B2035" s="1" t="s">
        <v>2180</v>
      </c>
      <c r="C2035" s="1" t="n">
        <v>2</v>
      </c>
      <c r="E2035" s="11" t="s">
        <v>12</v>
      </c>
      <c r="F2035" s="11" t="str">
        <f aca="false">IFERROR(__xludf.dummyfunction("GOOGLETRANSLATE(B2035,""en"",""ar"")"),"لاحق")</f>
        <v>لاحق</v>
      </c>
      <c r="G2035" s="3" t="n">
        <v>0</v>
      </c>
      <c r="H2035" s="3" t="n">
        <v>0</v>
      </c>
    </row>
    <row r="2036" customFormat="false" ht="14.25" hidden="false" customHeight="true" outlineLevel="0" collapsed="false">
      <c r="A2036" s="1"/>
      <c r="B2036" s="1" t="s">
        <v>2181</v>
      </c>
      <c r="C2036" s="1" t="n">
        <v>2</v>
      </c>
      <c r="E2036" s="11" t="s">
        <v>79</v>
      </c>
      <c r="F2036" s="11" t="str">
        <f aca="false">IFERROR(__xludf.dummyfunction("GOOGLETRANSLATE(B2036,""en"",""ar"")"),"كمية")</f>
        <v>كمية</v>
      </c>
      <c r="G2036" s="3" t="n">
        <v>0</v>
      </c>
      <c r="H2036" s="3" t="n">
        <v>0</v>
      </c>
    </row>
    <row r="2037" customFormat="false" ht="14.25" hidden="false" customHeight="true" outlineLevel="0" collapsed="false">
      <c r="A2037" s="1"/>
      <c r="B2037" s="1" t="s">
        <v>2182</v>
      </c>
      <c r="C2037" s="1" t="n">
        <v>2</v>
      </c>
      <c r="E2037" s="11" t="s">
        <v>405</v>
      </c>
      <c r="F2037" s="11" t="str">
        <f aca="false">IFERROR(__xludf.dummyfunction("GOOGLETRANSLATE(B2037,""en"",""ar"")"),"هادئ")</f>
        <v>هادئ</v>
      </c>
      <c r="G2037" s="3" t="n">
        <v>0</v>
      </c>
      <c r="H2037" s="3" t="n">
        <v>0</v>
      </c>
    </row>
    <row r="2038" customFormat="false" ht="14.25" hidden="false" customHeight="true" outlineLevel="0" collapsed="false">
      <c r="A2038" s="1"/>
      <c r="B2038" s="1" t="s">
        <v>2183</v>
      </c>
      <c r="C2038" s="1" t="n">
        <v>2</v>
      </c>
      <c r="E2038" s="11" t="s">
        <v>79</v>
      </c>
      <c r="F2038" s="11" t="str">
        <f aca="false">IFERROR(__xludf.dummyfunction("GOOGLETRANSLATE(B2038,""en"",""ar"")"),"تفاعل")</f>
        <v>تفاعل</v>
      </c>
      <c r="G2038" s="3" t="n">
        <v>0</v>
      </c>
      <c r="H2038" s="3" t="n">
        <v>0</v>
      </c>
    </row>
    <row r="2039" customFormat="false" ht="14.25" hidden="false" customHeight="true" outlineLevel="0" collapsed="false">
      <c r="A2039" s="1"/>
      <c r="B2039" s="1" t="s">
        <v>2184</v>
      </c>
      <c r="C2039" s="1" t="n">
        <v>2</v>
      </c>
      <c r="E2039" s="11" t="s">
        <v>94</v>
      </c>
      <c r="F2039" s="11" t="str">
        <f aca="false">IFERROR(__xludf.dummyfunction("GOOGLETRANSLATE(B2039,""en"",""ar"")"),"رفض")</f>
        <v>رفض</v>
      </c>
      <c r="G2039" s="3" t="n">
        <v>0</v>
      </c>
      <c r="H2039" s="3" t="n">
        <v>0</v>
      </c>
    </row>
    <row r="2040" customFormat="false" ht="14.25" hidden="false" customHeight="true" outlineLevel="0" collapsed="false">
      <c r="A2040" s="1"/>
      <c r="B2040" s="1" t="s">
        <v>2185</v>
      </c>
      <c r="C2040" s="1" t="n">
        <v>2</v>
      </c>
      <c r="E2040" s="11" t="s">
        <v>94</v>
      </c>
      <c r="F2040" s="11" t="str">
        <f aca="false">IFERROR(__xludf.dummyfunction("GOOGLETRANSLATE(B2040,""en"",""ar"")"),"يندم")</f>
        <v>يندم</v>
      </c>
      <c r="G2040" s="3" t="n">
        <v>0</v>
      </c>
      <c r="H2040" s="3" t="n">
        <v>0</v>
      </c>
    </row>
    <row r="2041" customFormat="false" ht="14.25" hidden="false" customHeight="true" outlineLevel="0" collapsed="false">
      <c r="A2041" s="1"/>
      <c r="B2041" s="1" t="s">
        <v>2186</v>
      </c>
      <c r="C2041" s="1" t="n">
        <v>2</v>
      </c>
      <c r="E2041" s="11" t="s">
        <v>12</v>
      </c>
      <c r="F2041" s="11" t="str">
        <f aca="false">IFERROR(__xludf.dummyfunction("GOOGLETRANSLATE(B2041,""en"",""ar"")"),"متبقي")</f>
        <v>متبقي</v>
      </c>
      <c r="G2041" s="3" t="n">
        <v>0</v>
      </c>
      <c r="H2041" s="3" t="n">
        <v>0</v>
      </c>
    </row>
    <row r="2042" customFormat="false" ht="14.25" hidden="false" customHeight="true" outlineLevel="0" collapsed="false">
      <c r="A2042" s="1"/>
      <c r="B2042" s="1" t="s">
        <v>2187</v>
      </c>
      <c r="C2042" s="1" t="n">
        <v>2</v>
      </c>
      <c r="E2042" s="11" t="s">
        <v>79</v>
      </c>
      <c r="F2042" s="11" t="str">
        <f aca="false">IFERROR(__xludf.dummyfunction("GOOGLETRANSLATE(B2042,""en"",""ar"")"),"المتطلبات")</f>
        <v>المتطلبات</v>
      </c>
      <c r="G2042" s="3" t="n">
        <v>0</v>
      </c>
      <c r="H2042" s="3" t="n">
        <v>0</v>
      </c>
    </row>
    <row r="2043" customFormat="false" ht="14.25" hidden="false" customHeight="true" outlineLevel="0" collapsed="false">
      <c r="A2043" s="1"/>
      <c r="B2043" s="1" t="s">
        <v>2188</v>
      </c>
      <c r="C2043" s="1" t="n">
        <v>2</v>
      </c>
      <c r="E2043" s="11" t="s">
        <v>94</v>
      </c>
      <c r="F2043" s="11" t="str">
        <f aca="false">IFERROR(__xludf.dummyfunction("GOOGLETRANSLATE(B2043,""en"",""ar"")"),"يكشف")</f>
        <v>يكشف</v>
      </c>
      <c r="G2043" s="3" t="n">
        <v>0</v>
      </c>
      <c r="H2043" s="3" t="n">
        <v>0</v>
      </c>
    </row>
    <row r="2044" customFormat="false" ht="14.25" hidden="false" customHeight="true" outlineLevel="0" collapsed="false">
      <c r="A2044" s="1"/>
      <c r="B2044" s="1" t="s">
        <v>2189</v>
      </c>
      <c r="C2044" s="1" t="n">
        <v>2</v>
      </c>
      <c r="E2044" s="11" t="s">
        <v>119</v>
      </c>
      <c r="F2044" s="11" t="str">
        <f aca="false">IFERROR(__xludf.dummyfunction("GOOGLETRANSLATE(B2044,""en"",""ar"")"),"خراب")</f>
        <v>خراب</v>
      </c>
      <c r="G2044" s="3" t="n">
        <v>0</v>
      </c>
      <c r="H2044" s="3" t="n">
        <v>0</v>
      </c>
    </row>
    <row r="2045" customFormat="false" ht="14.25" hidden="false" customHeight="true" outlineLevel="0" collapsed="false">
      <c r="A2045" s="1"/>
      <c r="B2045" s="1" t="s">
        <v>2190</v>
      </c>
      <c r="C2045" s="1" t="n">
        <v>2</v>
      </c>
      <c r="E2045" s="11" t="s">
        <v>94</v>
      </c>
      <c r="F2045" s="11" t="str">
        <f aca="false">IFERROR(__xludf.dummyfunction("GOOGLETRANSLATE(B2045,""en"",""ar"")"),"سرعه")</f>
        <v>سرعه</v>
      </c>
      <c r="G2045" s="3" t="n">
        <v>0</v>
      </c>
      <c r="H2045" s="3" t="n">
        <v>0</v>
      </c>
    </row>
    <row r="2046" customFormat="false" ht="14.25" hidden="false" customHeight="true" outlineLevel="0" collapsed="false">
      <c r="A2046" s="1"/>
      <c r="B2046" s="1" t="s">
        <v>2191</v>
      </c>
      <c r="C2046" s="1" t="n">
        <v>2</v>
      </c>
      <c r="E2046" s="11" t="s">
        <v>79</v>
      </c>
      <c r="F2046" s="11" t="str">
        <f aca="false">IFERROR(__xludf.dummyfunction("GOOGLETRANSLATE(B2046,""en"",""ar"")"),"سلطة")</f>
        <v>سلطة</v>
      </c>
      <c r="G2046" s="3" t="n">
        <v>0</v>
      </c>
      <c r="H2046" s="3" t="n">
        <v>0</v>
      </c>
    </row>
    <row r="2047" customFormat="false" ht="14.25" hidden="false" customHeight="true" outlineLevel="0" collapsed="false">
      <c r="A2047" s="1"/>
      <c r="B2047" s="1" t="s">
        <v>2192</v>
      </c>
      <c r="C2047" s="1" t="n">
        <v>2</v>
      </c>
      <c r="E2047" s="11" t="s">
        <v>112</v>
      </c>
      <c r="F2047" s="11" t="str">
        <f aca="false">IFERROR(__xludf.dummyfunction("GOOGLETRANSLATE(B2047,""en"",""ar"")"),"جنسي")</f>
        <v>جنسي</v>
      </c>
      <c r="G2047" s="3" t="n">
        <v>0</v>
      </c>
      <c r="H2047" s="3" t="n">
        <v>0</v>
      </c>
    </row>
    <row r="2048" customFormat="false" ht="14.25" hidden="false" customHeight="true" outlineLevel="0" collapsed="false">
      <c r="A2048" s="1"/>
      <c r="B2048" s="1" t="s">
        <v>2193</v>
      </c>
      <c r="C2048" s="1" t="n">
        <v>2</v>
      </c>
      <c r="E2048" s="11" t="s">
        <v>94</v>
      </c>
      <c r="F2048" s="11" t="str">
        <f aca="false">IFERROR(__xludf.dummyfunction("GOOGLETRANSLATE(B2048,""en"",""ar"")"),"هزة")</f>
        <v>هزة</v>
      </c>
      <c r="G2048" s="3" t="n">
        <v>0</v>
      </c>
      <c r="H2048" s="3" t="n">
        <v>0</v>
      </c>
    </row>
    <row r="2049" customFormat="false" ht="14.25" hidden="false" customHeight="true" outlineLevel="0" collapsed="false">
      <c r="A2049" s="1"/>
      <c r="B2049" s="1" t="s">
        <v>2194</v>
      </c>
      <c r="C2049" s="1" t="n">
        <v>2</v>
      </c>
      <c r="E2049" s="11" t="s">
        <v>94</v>
      </c>
      <c r="F2049" s="11" t="str">
        <f aca="false">IFERROR(__xludf.dummyfunction("GOOGLETRANSLATE(B2049,""en"",""ar"")"),"تحول")</f>
        <v>تحول</v>
      </c>
      <c r="G2049" s="3" t="n">
        <v>0</v>
      </c>
      <c r="H2049" s="3" t="n">
        <v>0</v>
      </c>
    </row>
    <row r="2050" customFormat="false" ht="14.25" hidden="false" customHeight="true" outlineLevel="0" collapsed="false">
      <c r="A2050" s="1"/>
      <c r="B2050" s="1" t="s">
        <v>2195</v>
      </c>
      <c r="C2050" s="1" t="n">
        <v>2</v>
      </c>
      <c r="E2050" s="11" t="s">
        <v>94</v>
      </c>
      <c r="F2050" s="11" t="str">
        <f aca="false">IFERROR(__xludf.dummyfunction("GOOGLETRANSLATE(B2050,""en"",""ar"")"),"يلمع")</f>
        <v>يلمع</v>
      </c>
      <c r="G2050" s="3" t="n">
        <v>0</v>
      </c>
      <c r="H2050" s="3" t="n">
        <v>0</v>
      </c>
    </row>
    <row r="2051" customFormat="false" ht="14.25" hidden="false" customHeight="true" outlineLevel="0" collapsed="false">
      <c r="A2051" s="1"/>
      <c r="B2051" s="1" t="s">
        <v>2196</v>
      </c>
      <c r="C2051" s="1" t="n">
        <v>2</v>
      </c>
      <c r="E2051" s="11" t="s">
        <v>119</v>
      </c>
      <c r="F2051" s="11" t="str">
        <f aca="false">IFERROR(__xludf.dummyfunction("GOOGLETRANSLATE(B2051,""en"",""ar"")"),"سفينة")</f>
        <v>سفينة</v>
      </c>
      <c r="G2051" s="3" t="n">
        <v>0</v>
      </c>
      <c r="H2051" s="3" t="n">
        <v>0</v>
      </c>
    </row>
    <row r="2052" customFormat="false" ht="14.25" hidden="false" customHeight="true" outlineLevel="0" collapsed="false">
      <c r="A2052" s="1"/>
      <c r="B2052" s="1" t="s">
        <v>2197</v>
      </c>
      <c r="C2052" s="1" t="n">
        <v>2</v>
      </c>
      <c r="E2052" s="11" t="s">
        <v>79</v>
      </c>
      <c r="F2052" s="11" t="str">
        <f aca="false">IFERROR(__xludf.dummyfunction("GOOGLETRANSLATE(B2052,""en"",""ar"")"),"أخت")</f>
        <v>أخت</v>
      </c>
      <c r="G2052" s="3" t="n">
        <v>0</v>
      </c>
      <c r="H2052" s="3" t="n">
        <v>0</v>
      </c>
    </row>
    <row r="2053" customFormat="false" ht="14.25" hidden="false" customHeight="true" outlineLevel="0" collapsed="false">
      <c r="A2053" s="1"/>
      <c r="B2053" s="1" t="s">
        <v>2198</v>
      </c>
      <c r="C2053" s="1" t="n">
        <v>2</v>
      </c>
      <c r="E2053" s="11" t="s">
        <v>119</v>
      </c>
      <c r="F2053" s="11" t="str">
        <f aca="false">IFERROR(__xludf.dummyfunction("GOOGLETRANSLATE(B2053,""en"",""ar"")"),"تنورة")</f>
        <v>تنورة</v>
      </c>
      <c r="G2053" s="3" t="n">
        <v>0</v>
      </c>
      <c r="H2053" s="3" t="n">
        <v>0</v>
      </c>
    </row>
    <row r="2054" customFormat="false" ht="14.25" hidden="false" customHeight="true" outlineLevel="0" collapsed="false">
      <c r="A2054" s="1"/>
      <c r="B2054" s="1" t="s">
        <v>2199</v>
      </c>
      <c r="C2054" s="1" t="n">
        <v>2</v>
      </c>
      <c r="E2054" s="11" t="s">
        <v>119</v>
      </c>
      <c r="F2054" s="11" t="str">
        <f aca="false">IFERROR(__xludf.dummyfunction("GOOGLETRANSLATE(B2054,""en"",""ar"")"),"شريحة")</f>
        <v>شريحة</v>
      </c>
      <c r="G2054" s="3" t="n">
        <v>0</v>
      </c>
      <c r="H2054" s="3" t="n">
        <v>0</v>
      </c>
    </row>
    <row r="2055" customFormat="false" ht="14.25" hidden="false" customHeight="true" outlineLevel="0" collapsed="false">
      <c r="A2055" s="1"/>
      <c r="B2055" s="1" t="s">
        <v>2200</v>
      </c>
      <c r="C2055" s="1" t="n">
        <v>2</v>
      </c>
      <c r="E2055" s="11" t="s">
        <v>119</v>
      </c>
      <c r="F2055" s="11" t="str">
        <f aca="false">IFERROR(__xludf.dummyfunction("GOOGLETRANSLATE(B2055,""en"",""ar"")"),"ثلج")</f>
        <v>ثلج</v>
      </c>
      <c r="G2055" s="3" t="n">
        <v>0</v>
      </c>
      <c r="H2055" s="3" t="n">
        <v>0</v>
      </c>
    </row>
    <row r="2056" customFormat="false" ht="14.25" hidden="false" customHeight="true" outlineLevel="0" collapsed="false">
      <c r="A2056" s="1"/>
      <c r="B2056" s="1" t="s">
        <v>2201</v>
      </c>
      <c r="C2056" s="1" t="n">
        <v>2</v>
      </c>
      <c r="E2056" s="11" t="s">
        <v>148</v>
      </c>
      <c r="F2056" s="11" t="str">
        <f aca="false">IFERROR(__xludf.dummyfunction("GOOGLETRANSLATE(B2056,""en"",""ar"")"),"متخصص")</f>
        <v>متخصص</v>
      </c>
      <c r="G2056" s="3" t="n">
        <v>0</v>
      </c>
      <c r="H2056" s="3" t="n">
        <v>0</v>
      </c>
    </row>
    <row r="2057" customFormat="false" ht="14.25" hidden="false" customHeight="true" outlineLevel="0" collapsed="false">
      <c r="A2057" s="1"/>
      <c r="B2057" s="1" t="s">
        <v>2202</v>
      </c>
      <c r="C2057" s="1" t="n">
        <v>2</v>
      </c>
      <c r="E2057" s="11" t="s">
        <v>12</v>
      </c>
      <c r="F2057" s="11" t="str">
        <f aca="false">IFERROR(__xludf.dummyfunction("GOOGLETRANSLATE(B2057,""en"",""ar"")"),"تحديد")</f>
        <v>تحديد</v>
      </c>
      <c r="G2057" s="3" t="n">
        <v>0</v>
      </c>
      <c r="H2057" s="3" t="n">
        <v>0</v>
      </c>
    </row>
    <row r="2058" customFormat="false" ht="14.25" hidden="false" customHeight="true" outlineLevel="0" collapsed="false">
      <c r="A2058" s="1"/>
      <c r="B2058" s="1" t="s">
        <v>2203</v>
      </c>
      <c r="C2058" s="1" t="n">
        <v>2</v>
      </c>
      <c r="E2058" s="11" t="s">
        <v>94</v>
      </c>
      <c r="F2058" s="11" t="str">
        <f aca="false">IFERROR(__xludf.dummyfunction("GOOGLETRANSLATE(B2058,""en"",""ar"")"),"يسرق")</f>
        <v>يسرق</v>
      </c>
      <c r="G2058" s="3" t="n">
        <v>0</v>
      </c>
      <c r="H2058" s="3" t="n">
        <v>0</v>
      </c>
    </row>
    <row r="2059" customFormat="false" ht="14.25" hidden="false" customHeight="true" outlineLevel="0" collapsed="false">
      <c r="A2059" s="1"/>
      <c r="B2059" s="1" t="s">
        <v>2204</v>
      </c>
      <c r="C2059" s="1" t="n">
        <v>2</v>
      </c>
      <c r="E2059" s="11" t="s">
        <v>119</v>
      </c>
      <c r="F2059" s="11" t="str">
        <f aca="false">IFERROR(__xludf.dummyfunction("GOOGLETRANSLATE(B2059,""en"",""ar"")"),"السكتة الدماغية")</f>
        <v>السكتة الدماغية</v>
      </c>
      <c r="G2059" s="3" t="n">
        <v>0</v>
      </c>
      <c r="H2059" s="3" t="n">
        <v>0</v>
      </c>
    </row>
    <row r="2060" customFormat="false" ht="14.25" hidden="false" customHeight="true" outlineLevel="0" collapsed="false">
      <c r="A2060" s="1"/>
      <c r="B2060" s="1" t="s">
        <v>2205</v>
      </c>
      <c r="C2060" s="1" t="n">
        <v>2</v>
      </c>
      <c r="E2060" s="11" t="s">
        <v>42</v>
      </c>
      <c r="F2060" s="11" t="str">
        <f aca="false">IFERROR(__xludf.dummyfunction("GOOGLETRANSLATE(B2060,""en"",""ar"")"),"بقوة")</f>
        <v>بقوة</v>
      </c>
      <c r="G2060" s="3" t="n">
        <v>0</v>
      </c>
      <c r="H2060" s="3" t="n">
        <v>0</v>
      </c>
    </row>
    <row r="2061" customFormat="false" ht="14.25" hidden="false" customHeight="true" outlineLevel="0" collapsed="false">
      <c r="A2061" s="1"/>
      <c r="B2061" s="1" t="s">
        <v>2206</v>
      </c>
      <c r="C2061" s="1" t="n">
        <v>2</v>
      </c>
      <c r="E2061" s="11" t="s">
        <v>94</v>
      </c>
      <c r="F2061" s="11" t="str">
        <f aca="false">IFERROR(__xludf.dummyfunction("GOOGLETRANSLATE(B2061,""en"",""ar"")"),"مص")</f>
        <v>مص</v>
      </c>
      <c r="G2061" s="3" t="n">
        <v>0</v>
      </c>
      <c r="H2061" s="3" t="n">
        <v>0</v>
      </c>
    </row>
    <row r="2062" customFormat="false" ht="14.25" hidden="false" customHeight="true" outlineLevel="0" collapsed="false">
      <c r="A2062" s="1"/>
      <c r="B2062" s="1" t="s">
        <v>2207</v>
      </c>
      <c r="C2062" s="1" t="n">
        <v>2</v>
      </c>
      <c r="E2062" s="11" t="s">
        <v>112</v>
      </c>
      <c r="F2062" s="11" t="str">
        <f aca="false">IFERROR(__xludf.dummyfunction("GOOGLETRANSLATE(B2062,""en"",""ar"")"),"مفاجئ")</f>
        <v>مفاجئ</v>
      </c>
      <c r="G2062" s="3" t="n">
        <v>0</v>
      </c>
      <c r="H2062" s="3" t="n">
        <v>0</v>
      </c>
    </row>
    <row r="2063" customFormat="false" ht="14.25" hidden="false" customHeight="true" outlineLevel="0" collapsed="false">
      <c r="A2063" s="1"/>
      <c r="B2063" s="1" t="s">
        <v>2208</v>
      </c>
      <c r="C2063" s="1" t="n">
        <v>2</v>
      </c>
      <c r="E2063" s="11" t="s">
        <v>79</v>
      </c>
      <c r="F2063" s="11" t="str">
        <f aca="false">IFERROR(__xludf.dummyfunction("GOOGLETRANSLATE(B2063,""en"",""ar"")"),"سوبر ماركت")</f>
        <v>سوبر ماركت</v>
      </c>
      <c r="G2063" s="3" t="n">
        <v>0</v>
      </c>
      <c r="H2063" s="3" t="n">
        <v>0</v>
      </c>
    </row>
    <row r="2064" customFormat="false" ht="14.25" hidden="false" customHeight="true" outlineLevel="0" collapsed="false">
      <c r="A2064" s="1"/>
      <c r="B2064" s="1" t="s">
        <v>2209</v>
      </c>
      <c r="C2064" s="1" t="n">
        <v>2</v>
      </c>
      <c r="E2064" s="11" t="s">
        <v>94</v>
      </c>
      <c r="F2064" s="11" t="str">
        <f aca="false">IFERROR(__xludf.dummyfunction("GOOGLETRANSLATE(B2064,""en"",""ar"")"),"طوق")</f>
        <v>طوق</v>
      </c>
      <c r="G2064" s="3" t="n">
        <v>0</v>
      </c>
      <c r="H2064" s="3" t="n">
        <v>0</v>
      </c>
    </row>
    <row r="2065" customFormat="false" ht="14.25" hidden="false" customHeight="true" outlineLevel="0" collapsed="false">
      <c r="A2065" s="1"/>
      <c r="B2065" s="1" t="s">
        <v>2210</v>
      </c>
      <c r="C2065" s="1" t="n">
        <v>2</v>
      </c>
      <c r="E2065" s="11" t="s">
        <v>119</v>
      </c>
      <c r="F2065" s="11" t="str">
        <f aca="false">IFERROR(__xludf.dummyfunction("GOOGLETRANSLATE(B2065,""en"",""ar"")"),"تحول")</f>
        <v>تحول</v>
      </c>
      <c r="G2065" s="3" t="n">
        <v>0</v>
      </c>
      <c r="H2065" s="3" t="n">
        <v>0</v>
      </c>
    </row>
    <row r="2066" customFormat="false" ht="14.25" hidden="false" customHeight="true" outlineLevel="0" collapsed="false">
      <c r="A2066" s="1"/>
      <c r="B2066" s="1" t="s">
        <v>2211</v>
      </c>
      <c r="C2066" s="1" t="n">
        <v>2</v>
      </c>
      <c r="E2066" s="11" t="s">
        <v>112</v>
      </c>
      <c r="F2066" s="11" t="str">
        <f aca="false">IFERROR(__xludf.dummyfunction("GOOGLETRANSLATE(B2066,""en"",""ar"")"),"كريه")</f>
        <v>كريه</v>
      </c>
      <c r="G2066" s="3" t="n">
        <v>0</v>
      </c>
      <c r="H2066" s="3" t="n">
        <v>0</v>
      </c>
    </row>
    <row r="2067" customFormat="false" ht="14.25" hidden="false" customHeight="true" outlineLevel="0" collapsed="false">
      <c r="A2067" s="1"/>
      <c r="B2067" s="1" t="s">
        <v>2212</v>
      </c>
      <c r="C2067" s="1" t="n">
        <v>2</v>
      </c>
      <c r="E2067" s="11" t="s">
        <v>87</v>
      </c>
      <c r="F2067" s="11" t="str">
        <f aca="false">IFERROR(__xludf.dummyfunction("GOOGLETRANSLATE(B2067,""en"",""ar"")"),"مرهق")</f>
        <v>مرهق</v>
      </c>
      <c r="G2067" s="3" t="n">
        <v>0</v>
      </c>
      <c r="H2067" s="3" t="n">
        <v>0</v>
      </c>
    </row>
    <row r="2068" customFormat="false" ht="14.25" hidden="false" customHeight="true" outlineLevel="0" collapsed="false">
      <c r="A2068" s="1"/>
      <c r="B2068" s="1" t="s">
        <v>2213</v>
      </c>
      <c r="C2068" s="1" t="n">
        <v>2</v>
      </c>
      <c r="E2068" s="11" t="s">
        <v>79</v>
      </c>
      <c r="F2068" s="11" t="str">
        <f aca="false">IFERROR(__xludf.dummyfunction("GOOGLETRANSLATE(B2068,""en"",""ar"")"),"لسان")</f>
        <v>لسان</v>
      </c>
      <c r="G2068" s="3" t="n">
        <v>0</v>
      </c>
      <c r="H2068" s="3" t="n">
        <v>0</v>
      </c>
    </row>
    <row r="2069" customFormat="false" ht="14.25" hidden="false" customHeight="true" outlineLevel="0" collapsed="false">
      <c r="A2069" s="1"/>
      <c r="B2069" s="1" t="s">
        <v>2214</v>
      </c>
      <c r="C2069" s="1" t="n">
        <v>2</v>
      </c>
      <c r="E2069" s="11" t="s">
        <v>119</v>
      </c>
      <c r="F2069" s="11" t="str">
        <f aca="false">IFERROR(__xludf.dummyfunction("GOOGLETRANSLATE(B2069,""en"",""ar"")"),"قمامة، يدمر، يهدم")</f>
        <v>قمامة، يدمر، يهدم</v>
      </c>
      <c r="G2069" s="3" t="n">
        <v>0</v>
      </c>
      <c r="H2069" s="3" t="n">
        <v>0</v>
      </c>
    </row>
    <row r="2070" customFormat="false" ht="14.25" hidden="false" customHeight="true" outlineLevel="0" collapsed="false">
      <c r="A2070" s="1"/>
      <c r="B2070" s="1" t="s">
        <v>2215</v>
      </c>
      <c r="C2070" s="1" t="n">
        <v>2</v>
      </c>
      <c r="E2070" s="11" t="s">
        <v>119</v>
      </c>
      <c r="F2070" s="11" t="str">
        <f aca="false">IFERROR(__xludf.dummyfunction("GOOGLETRANSLATE(B2070,""en"",""ar"")"),"نغم")</f>
        <v>نغم</v>
      </c>
      <c r="G2070" s="3" t="n">
        <v>0</v>
      </c>
      <c r="H2070" s="3" t="n">
        <v>0</v>
      </c>
    </row>
    <row r="2071" customFormat="false" ht="14.25" hidden="false" customHeight="true" outlineLevel="0" collapsed="false">
      <c r="A2071" s="1"/>
      <c r="B2071" s="1" t="s">
        <v>2216</v>
      </c>
      <c r="C2071" s="1" t="n">
        <v>2</v>
      </c>
      <c r="E2071" s="11" t="s">
        <v>112</v>
      </c>
      <c r="F2071" s="11" t="str">
        <f aca="false">IFERROR(__xludf.dummyfunction("GOOGLETRANSLATE(B2071,""en"",""ar"")"),"غير قادر")</f>
        <v>غير قادر</v>
      </c>
      <c r="G2071" s="3" t="n">
        <v>0</v>
      </c>
      <c r="H2071" s="3" t="n">
        <v>0</v>
      </c>
    </row>
    <row r="2072" customFormat="false" ht="14.25" hidden="false" customHeight="true" outlineLevel="0" collapsed="false">
      <c r="A2072" s="1"/>
      <c r="B2072" s="1" t="s">
        <v>2217</v>
      </c>
      <c r="C2072" s="1" t="n">
        <v>2</v>
      </c>
      <c r="E2072" s="11" t="s">
        <v>12</v>
      </c>
      <c r="F2072" s="11" t="str">
        <f aca="false">IFERROR(__xludf.dummyfunction("GOOGLETRANSLATE(B2072,""en"",""ar"")"),"حذر")</f>
        <v>حذر</v>
      </c>
      <c r="G2072" s="3" t="n">
        <v>0</v>
      </c>
      <c r="H2072" s="3" t="n">
        <v>0</v>
      </c>
    </row>
    <row r="2073" customFormat="false" ht="14.25" hidden="false" customHeight="true" outlineLevel="0" collapsed="false">
      <c r="A2073" s="1"/>
      <c r="B2073" s="1" t="s">
        <v>2218</v>
      </c>
      <c r="C2073" s="1" t="n">
        <v>2</v>
      </c>
      <c r="E2073" s="11" t="s">
        <v>112</v>
      </c>
      <c r="F2073" s="11" t="str">
        <f aca="false">IFERROR(__xludf.dummyfunction("GOOGLETRANSLATE(B2073,""en"",""ar"")"),"ضعيف")</f>
        <v>ضعيف</v>
      </c>
      <c r="G2073" s="3" t="n">
        <v>0</v>
      </c>
      <c r="H2073" s="3" t="n">
        <v>0</v>
      </c>
    </row>
    <row r="2074" customFormat="false" ht="14.25" hidden="false" customHeight="true" outlineLevel="0" collapsed="false">
      <c r="A2074" s="1"/>
      <c r="B2074" s="1" t="s">
        <v>2219</v>
      </c>
      <c r="C2074" s="1" t="n">
        <v>2</v>
      </c>
      <c r="E2074" s="11" t="s">
        <v>79</v>
      </c>
      <c r="F2074" s="11" t="str">
        <f aca="false">IFERROR(__xludf.dummyfunction("GOOGLETRANSLATE(B2074,""en"",""ar"")"),"ضعف")</f>
        <v>ضعف</v>
      </c>
      <c r="G2074" s="3" t="n">
        <v>0</v>
      </c>
      <c r="H2074" s="3" t="n">
        <v>0</v>
      </c>
    </row>
    <row r="2075" customFormat="false" ht="14.25" hidden="false" customHeight="true" outlineLevel="0" collapsed="false">
      <c r="A2075" s="1"/>
      <c r="B2075" s="1" t="s">
        <v>2220</v>
      </c>
      <c r="C2075" s="1" t="n">
        <v>2</v>
      </c>
      <c r="E2075" s="11" t="s">
        <v>79</v>
      </c>
      <c r="F2075" s="11" t="str">
        <f aca="false">IFERROR(__xludf.dummyfunction("GOOGLETRANSLATE(B2075,""en"",""ar"")"),"حفل زواج")</f>
        <v>حفل زواج</v>
      </c>
      <c r="G2075" s="3" t="n">
        <v>0</v>
      </c>
      <c r="H2075" s="3" t="n">
        <v>0</v>
      </c>
    </row>
    <row r="2076" customFormat="false" ht="14.25" hidden="false" customHeight="true" outlineLevel="0" collapsed="false">
      <c r="A2076" s="1"/>
      <c r="B2076" s="1" t="s">
        <v>2221</v>
      </c>
      <c r="C2076" s="1" t="n">
        <v>2</v>
      </c>
      <c r="E2076" s="11" t="s">
        <v>112</v>
      </c>
      <c r="F2076" s="11" t="str">
        <f aca="false">IFERROR(__xludf.dummyfunction("GOOGLETRANSLATE(B2076,""en"",""ar"")"),"خشبي")</f>
        <v>خشبي</v>
      </c>
      <c r="G2076" s="3" t="n">
        <v>0</v>
      </c>
      <c r="H2076" s="3" t="n">
        <v>0</v>
      </c>
    </row>
    <row r="2077" customFormat="false" ht="14.25" hidden="false" customHeight="true" outlineLevel="0" collapsed="false">
      <c r="A2077" s="1"/>
      <c r="B2077" s="1" t="s">
        <v>2222</v>
      </c>
      <c r="C2077" s="1" t="n">
        <v>2</v>
      </c>
      <c r="E2077" s="11" t="s">
        <v>87</v>
      </c>
      <c r="F2077" s="11" t="str">
        <f aca="false">IFERROR(__xludf.dummyfunction("GOOGLETRANSLATE(B2077,""en"",""ar"")"),"قلق")</f>
        <v>قلق</v>
      </c>
      <c r="G2077" s="3" t="n">
        <v>0</v>
      </c>
      <c r="H2077" s="3" t="n">
        <v>0</v>
      </c>
    </row>
    <row r="2078" customFormat="false" ht="14.25" hidden="false" customHeight="true" outlineLevel="0" collapsed="false">
      <c r="A2078" s="1"/>
      <c r="B2078" s="1" t="s">
        <v>2223</v>
      </c>
      <c r="C2078" s="1" t="n">
        <v>2</v>
      </c>
      <c r="E2078" s="11" t="s">
        <v>306</v>
      </c>
      <c r="F2078" s="11" t="str">
        <f aca="false">IFERROR(__xludf.dummyfunction("GOOGLETRANSLATE(B2078,""en"",""ar"")"),"بلى")</f>
        <v>بلى</v>
      </c>
      <c r="G2078" s="3" t="n">
        <v>0</v>
      </c>
      <c r="H2078" s="3" t="n">
        <v>0</v>
      </c>
    </row>
    <row r="2079" customFormat="false" ht="14.25" hidden="false" customHeight="true" outlineLevel="0" collapsed="false">
      <c r="A2079" s="1"/>
      <c r="B2079" s="1" t="s">
        <v>2224</v>
      </c>
      <c r="C2079" s="1" t="n">
        <v>2</v>
      </c>
      <c r="E2079" s="11" t="s">
        <v>119</v>
      </c>
      <c r="F2079" s="11" t="str">
        <f aca="false">IFERROR(__xludf.dummyfunction("GOOGLETRANSLATE(B2079,""en"",""ar"")"),"منطقة")</f>
        <v>منطقة</v>
      </c>
      <c r="G2079" s="3" t="n">
        <v>0</v>
      </c>
      <c r="H2079" s="3" t="n">
        <v>0</v>
      </c>
    </row>
    <row r="2080" customFormat="false" ht="14.25" hidden="false" customHeight="true" outlineLevel="0" collapsed="false">
      <c r="A2080" s="1"/>
      <c r="B2080" s="1" t="s">
        <v>2225</v>
      </c>
      <c r="C2080" s="1" t="n">
        <v>1</v>
      </c>
      <c r="E2080" s="11" t="s">
        <v>12</v>
      </c>
      <c r="F2080" s="11" t="str">
        <f aca="false">IFERROR(__xludf.dummyfunction("GOOGLETRANSLATE(B2080,""en"",""ar"")"),"اتهم")</f>
        <v>اتهم</v>
      </c>
      <c r="G2080" s="3" t="n">
        <v>0</v>
      </c>
      <c r="H2080" s="3" t="n">
        <v>0</v>
      </c>
    </row>
    <row r="2081" customFormat="false" ht="14.25" hidden="false" customHeight="true" outlineLevel="0" collapsed="false">
      <c r="A2081" s="1"/>
      <c r="B2081" s="1" t="s">
        <v>2226</v>
      </c>
      <c r="C2081" s="1" t="n">
        <v>1</v>
      </c>
      <c r="E2081" s="11" t="s">
        <v>12</v>
      </c>
      <c r="F2081" s="11" t="str">
        <f aca="false">IFERROR(__xludf.dummyfunction("GOOGLETRANSLATE(B2081,""en"",""ar"")"),"معجب")</f>
        <v>معجب</v>
      </c>
      <c r="G2081" s="3" t="n">
        <v>0</v>
      </c>
      <c r="H2081" s="3" t="n">
        <v>0</v>
      </c>
    </row>
    <row r="2082" customFormat="false" ht="14.25" hidden="false" customHeight="true" outlineLevel="0" collapsed="false">
      <c r="A2082" s="1"/>
      <c r="B2082" s="1" t="s">
        <v>2227</v>
      </c>
      <c r="C2082" s="1" t="n">
        <v>1</v>
      </c>
      <c r="E2082" s="11" t="s">
        <v>12</v>
      </c>
      <c r="F2082" s="11" t="str">
        <f aca="false">IFERROR(__xludf.dummyfunction("GOOGLETRANSLATE(B2082,""en"",""ar"")"),"يعترف")</f>
        <v>يعترف</v>
      </c>
      <c r="G2082" s="3" t="n">
        <v>0</v>
      </c>
      <c r="H2082" s="3" t="n">
        <v>0</v>
      </c>
    </row>
    <row r="2083" customFormat="false" ht="14.25" hidden="false" customHeight="true" outlineLevel="0" collapsed="false">
      <c r="A2083" s="1"/>
      <c r="B2083" s="1" t="s">
        <v>2228</v>
      </c>
      <c r="C2083" s="1" t="n">
        <v>1</v>
      </c>
      <c r="E2083" s="11" t="s">
        <v>12</v>
      </c>
      <c r="F2083" s="11" t="str">
        <f aca="false">IFERROR(__xludf.dummyfunction("GOOGLETRANSLATE(B2083,""en"",""ar"")"),"يتبنى")</f>
        <v>يتبنى</v>
      </c>
      <c r="G2083" s="3" t="n">
        <v>0</v>
      </c>
      <c r="H2083" s="3" t="n">
        <v>0</v>
      </c>
    </row>
    <row r="2084" customFormat="false" ht="14.25" hidden="false" customHeight="true" outlineLevel="0" collapsed="false">
      <c r="A2084" s="1"/>
      <c r="B2084" s="1" t="s">
        <v>2229</v>
      </c>
      <c r="C2084" s="1" t="n">
        <v>1</v>
      </c>
      <c r="E2084" s="11" t="s">
        <v>79</v>
      </c>
      <c r="F2084" s="11" t="str">
        <f aca="false">IFERROR(__xludf.dummyfunction("GOOGLETRANSLATE(B2084,""en"",""ar"")"),"قضية")</f>
        <v>قضية</v>
      </c>
      <c r="G2084" s="3" t="n">
        <v>0</v>
      </c>
      <c r="H2084" s="3" t="n">
        <v>0</v>
      </c>
    </row>
    <row r="2085" customFormat="false" ht="14.25" hidden="false" customHeight="true" outlineLevel="0" collapsed="false">
      <c r="A2085" s="1"/>
      <c r="B2085" s="1" t="s">
        <v>2230</v>
      </c>
      <c r="C2085" s="1" t="n">
        <v>1</v>
      </c>
      <c r="E2085" s="11" t="s">
        <v>79</v>
      </c>
      <c r="F2085" s="11" t="str">
        <f aca="false">IFERROR(__xludf.dummyfunction("GOOGLETRANSLATE(B2085,""en"",""ar"")"),"طموح")</f>
        <v>طموح</v>
      </c>
      <c r="G2085" s="3" t="n">
        <v>0</v>
      </c>
      <c r="H2085" s="3" t="n">
        <v>0</v>
      </c>
    </row>
    <row r="2086" customFormat="false" ht="14.25" hidden="false" customHeight="true" outlineLevel="0" collapsed="false">
      <c r="A2086" s="1"/>
      <c r="B2086" s="1" t="s">
        <v>2231</v>
      </c>
      <c r="C2086" s="1" t="n">
        <v>1</v>
      </c>
      <c r="E2086" s="11" t="s">
        <v>79</v>
      </c>
      <c r="F2086" s="11" t="str">
        <f aca="false">IFERROR(__xludf.dummyfunction("GOOGLETRANSLATE(B2086,""en"",""ar"")"),"المحلل")</f>
        <v>المحلل</v>
      </c>
      <c r="G2086" s="3" t="n">
        <v>0</v>
      </c>
      <c r="H2086" s="3" t="n">
        <v>0</v>
      </c>
    </row>
    <row r="2087" customFormat="false" ht="14.25" hidden="false" customHeight="true" outlineLevel="0" collapsed="false">
      <c r="A2087" s="1"/>
      <c r="B2087" s="1" t="s">
        <v>2232</v>
      </c>
      <c r="C2087" s="1" t="n">
        <v>1</v>
      </c>
      <c r="E2087" s="11" t="s">
        <v>119</v>
      </c>
      <c r="F2087" s="11" t="str">
        <f aca="false">IFERROR(__xludf.dummyfunction("GOOGLETRANSLATE(B2087,""en"",""ar"")"),"غضب")</f>
        <v>غضب</v>
      </c>
      <c r="G2087" s="3" t="n">
        <v>0</v>
      </c>
      <c r="H2087" s="3" t="n">
        <v>0</v>
      </c>
    </row>
    <row r="2088" customFormat="false" ht="14.25" hidden="false" customHeight="true" outlineLevel="0" collapsed="false">
      <c r="A2088" s="1"/>
      <c r="B2088" s="1" t="s">
        <v>2233</v>
      </c>
      <c r="C2088" s="1" t="n">
        <v>1</v>
      </c>
      <c r="E2088" s="11" t="s">
        <v>12</v>
      </c>
      <c r="F2088" s="11" t="str">
        <f aca="false">IFERROR(__xludf.dummyfunction("GOOGLETRANSLATE(B2088,""en"",""ar"")"),"أعلن")</f>
        <v>أعلن</v>
      </c>
      <c r="G2088" s="3" t="n">
        <v>0</v>
      </c>
      <c r="H2088" s="3" t="n">
        <v>0</v>
      </c>
    </row>
    <row r="2089" customFormat="false" ht="14.25" hidden="false" customHeight="true" outlineLevel="0" collapsed="false">
      <c r="A2089" s="1"/>
      <c r="B2089" s="1" t="s">
        <v>2234</v>
      </c>
      <c r="C2089" s="1" t="n">
        <v>1</v>
      </c>
      <c r="E2089" s="11" t="s">
        <v>14</v>
      </c>
      <c r="F2089" s="11" t="str">
        <f aca="false">IFERROR(__xludf.dummyfunction("GOOGLETRANSLATE(B2089,""en"",""ar"")"),"اي شخص")</f>
        <v>اي شخص</v>
      </c>
      <c r="G2089" s="3" t="n">
        <v>0</v>
      </c>
      <c r="H2089" s="3" t="n">
        <v>0</v>
      </c>
    </row>
    <row r="2090" customFormat="false" ht="14.25" hidden="false" customHeight="true" outlineLevel="0" collapsed="false">
      <c r="A2090" s="1"/>
      <c r="B2090" s="1" t="s">
        <v>2235</v>
      </c>
      <c r="C2090" s="1" t="n">
        <v>1</v>
      </c>
      <c r="E2090" s="11" t="s">
        <v>12</v>
      </c>
      <c r="F2090" s="11" t="str">
        <f aca="false">IFERROR(__xludf.dummyfunction("GOOGLETRANSLATE(B2090,""en"",""ar"")"),"اعتذر")</f>
        <v>اعتذر</v>
      </c>
      <c r="G2090" s="3" t="n">
        <v>0</v>
      </c>
      <c r="H2090" s="3" t="n">
        <v>0</v>
      </c>
    </row>
    <row r="2091" customFormat="false" ht="14.25" hidden="false" customHeight="true" outlineLevel="0" collapsed="false">
      <c r="A2091" s="1"/>
      <c r="B2091" s="1" t="s">
        <v>2236</v>
      </c>
      <c r="C2091" s="1" t="n">
        <v>1</v>
      </c>
      <c r="E2091" s="11" t="s">
        <v>79</v>
      </c>
      <c r="F2091" s="11" t="str">
        <f aca="false">IFERROR(__xludf.dummyfunction("GOOGLETRANSLATE(B2091,""en"",""ar"")"),"تفاحة")</f>
        <v>تفاحة</v>
      </c>
      <c r="G2091" s="3" t="n">
        <v>0</v>
      </c>
      <c r="H2091" s="3" t="n">
        <v>0</v>
      </c>
    </row>
    <row r="2092" customFormat="false" ht="14.25" hidden="false" customHeight="true" outlineLevel="0" collapsed="false">
      <c r="A2092" s="1"/>
      <c r="B2092" s="1" t="s">
        <v>2237</v>
      </c>
      <c r="C2092" s="1" t="n">
        <v>1</v>
      </c>
      <c r="E2092" s="11" t="s">
        <v>12</v>
      </c>
      <c r="F2092" s="11" t="str">
        <f aca="false">IFERROR(__xludf.dummyfunction("GOOGLETRANSLATE(B2092,""en"",""ar"")"),"يوافق")</f>
        <v>يوافق</v>
      </c>
      <c r="G2092" s="3" t="n">
        <v>0</v>
      </c>
      <c r="H2092" s="3" t="n">
        <v>0</v>
      </c>
    </row>
    <row r="2093" customFormat="false" ht="14.25" hidden="false" customHeight="true" outlineLevel="0" collapsed="false">
      <c r="A2093" s="1"/>
      <c r="B2093" s="1" t="s">
        <v>2238</v>
      </c>
      <c r="C2093" s="1" t="n">
        <v>1</v>
      </c>
      <c r="E2093" s="11" t="s">
        <v>112</v>
      </c>
      <c r="F2093" s="11" t="str">
        <f aca="false">IFERROR(__xludf.dummyfunction("GOOGLETRANSLATE(B2093,""en"",""ar"")"),"نائم")</f>
        <v>نائم</v>
      </c>
      <c r="G2093" s="3" t="n">
        <v>0</v>
      </c>
      <c r="H2093" s="3" t="n">
        <v>0</v>
      </c>
    </row>
    <row r="2094" customFormat="false" ht="14.25" hidden="false" customHeight="true" outlineLevel="0" collapsed="false">
      <c r="A2094" s="1"/>
      <c r="B2094" s="1" t="s">
        <v>2239</v>
      </c>
      <c r="C2094" s="1" t="n">
        <v>1</v>
      </c>
      <c r="E2094" s="11" t="s">
        <v>79</v>
      </c>
      <c r="F2094" s="11" t="str">
        <f aca="false">IFERROR(__xludf.dummyfunction("GOOGLETRANSLATE(B2094,""en"",""ar"")"),"تكليف")</f>
        <v>تكليف</v>
      </c>
      <c r="G2094" s="3" t="n">
        <v>0</v>
      </c>
      <c r="H2094" s="3" t="n">
        <v>0</v>
      </c>
    </row>
    <row r="2095" customFormat="false" ht="14.25" hidden="false" customHeight="true" outlineLevel="0" collapsed="false">
      <c r="A2095" s="1"/>
      <c r="B2095" s="1" t="s">
        <v>2240</v>
      </c>
      <c r="C2095" s="1" t="n">
        <v>1</v>
      </c>
      <c r="E2095" s="11" t="s">
        <v>79</v>
      </c>
      <c r="F2095" s="11" t="str">
        <f aca="false">IFERROR(__xludf.dummyfunction("GOOGLETRANSLATE(B2095,""en"",""ar"")"),"مساعد")</f>
        <v>مساعد</v>
      </c>
      <c r="G2095" s="3" t="n">
        <v>0</v>
      </c>
      <c r="H2095" s="3" t="n">
        <v>0</v>
      </c>
    </row>
    <row r="2096" customFormat="false" ht="14.25" hidden="false" customHeight="true" outlineLevel="0" collapsed="false">
      <c r="A2096" s="1"/>
      <c r="B2096" s="1" t="s">
        <v>2241</v>
      </c>
      <c r="C2096" s="1" t="n">
        <v>1</v>
      </c>
      <c r="E2096" s="11" t="s">
        <v>12</v>
      </c>
      <c r="F2096" s="11" t="str">
        <f aca="false">IFERROR(__xludf.dummyfunction("GOOGLETRANSLATE(B2096,""en"",""ar"")"),"حضر")</f>
        <v>حضر</v>
      </c>
      <c r="G2096" s="3" t="n">
        <v>0</v>
      </c>
      <c r="H2096" s="3" t="n">
        <v>0</v>
      </c>
    </row>
    <row r="2097" customFormat="false" ht="14.25" hidden="false" customHeight="true" outlineLevel="0" collapsed="false">
      <c r="A2097" s="1"/>
      <c r="B2097" s="1" t="s">
        <v>2242</v>
      </c>
      <c r="C2097" s="1" t="n">
        <v>1</v>
      </c>
      <c r="E2097" s="11" t="s">
        <v>119</v>
      </c>
      <c r="F2097" s="11" t="str">
        <f aca="false">IFERROR(__xludf.dummyfunction("GOOGLETRANSLATE(B2097,""en"",""ar"")"),"جائزة")</f>
        <v>جائزة</v>
      </c>
      <c r="G2097" s="3" t="n">
        <v>0</v>
      </c>
      <c r="H2097" s="3" t="n">
        <v>0</v>
      </c>
    </row>
    <row r="2098" customFormat="false" ht="14.25" hidden="false" customHeight="true" outlineLevel="0" collapsed="false">
      <c r="A2098" s="1"/>
      <c r="B2098" s="1" t="s">
        <v>2243</v>
      </c>
      <c r="C2098" s="1" t="n">
        <v>1</v>
      </c>
      <c r="E2098" s="11" t="s">
        <v>79</v>
      </c>
      <c r="F2098" s="11" t="str">
        <f aca="false">IFERROR(__xludf.dummyfunction("GOOGLETRANSLATE(B2098,""en"",""ar"")"),"حمام")</f>
        <v>حمام</v>
      </c>
      <c r="G2098" s="3" t="n">
        <v>0</v>
      </c>
      <c r="H2098" s="3" t="n">
        <v>0</v>
      </c>
    </row>
    <row r="2099" customFormat="false" ht="14.25" hidden="false" customHeight="true" outlineLevel="0" collapsed="false">
      <c r="A2099" s="1"/>
      <c r="B2099" s="1" t="s">
        <v>2244</v>
      </c>
      <c r="C2099" s="1" t="n">
        <v>1</v>
      </c>
      <c r="E2099" s="11" t="s">
        <v>94</v>
      </c>
      <c r="F2099" s="11" t="str">
        <f aca="false">IFERROR(__xludf.dummyfunction("GOOGLETRANSLATE(B2099,""en"",""ar"")"),"يتحمل")</f>
        <v>يتحمل</v>
      </c>
      <c r="G2099" s="3" t="n">
        <v>0</v>
      </c>
      <c r="H2099" s="3" t="n">
        <v>0</v>
      </c>
    </row>
    <row r="2100" customFormat="false" ht="14.25" hidden="false" customHeight="true" outlineLevel="0" collapsed="false">
      <c r="A2100" s="1"/>
      <c r="B2100" s="1" t="s">
        <v>2245</v>
      </c>
      <c r="C2100" s="1" t="n">
        <v>1</v>
      </c>
      <c r="E2100" s="11" t="s">
        <v>79</v>
      </c>
      <c r="F2100" s="11" t="str">
        <f aca="false">IFERROR(__xludf.dummyfunction("GOOGLETRANSLATE(B2100,""en"",""ar"")"),"غرفة نوم")</f>
        <v>غرفة نوم</v>
      </c>
      <c r="G2100" s="3" t="n">
        <v>0</v>
      </c>
      <c r="H2100" s="3" t="n">
        <v>0</v>
      </c>
    </row>
    <row r="2101" customFormat="false" ht="14.25" hidden="false" customHeight="true" outlineLevel="0" collapsed="false">
      <c r="A2101" s="1"/>
      <c r="B2101" s="1" t="s">
        <v>2246</v>
      </c>
      <c r="C2101" s="1" t="n">
        <v>1</v>
      </c>
      <c r="E2101" s="11" t="s">
        <v>79</v>
      </c>
      <c r="F2101" s="11" t="str">
        <f aca="false">IFERROR(__xludf.dummyfunction("GOOGLETRANSLATE(B2101,""en"",""ar"")"),"بيرة")</f>
        <v>بيرة</v>
      </c>
      <c r="G2101" s="3" t="n">
        <v>0</v>
      </c>
      <c r="H2101" s="3" t="n">
        <v>0</v>
      </c>
    </row>
    <row r="2102" customFormat="false" ht="14.25" hidden="false" customHeight="true" outlineLevel="0" collapsed="false">
      <c r="A2102" s="1"/>
      <c r="B2102" s="1" t="s">
        <v>2247</v>
      </c>
      <c r="C2102" s="1" t="n">
        <v>1</v>
      </c>
      <c r="E2102" s="11" t="s">
        <v>12</v>
      </c>
      <c r="F2102" s="11" t="str">
        <f aca="false">IFERROR(__xludf.dummyfunction("GOOGLETRANSLATE(B2102,""en"",""ar"")"),"ينتمي ل")</f>
        <v>ينتمي ل</v>
      </c>
      <c r="G2102" s="3" t="n">
        <v>0</v>
      </c>
      <c r="H2102" s="3" t="n">
        <v>0</v>
      </c>
    </row>
    <row r="2103" customFormat="false" ht="14.25" hidden="false" customHeight="true" outlineLevel="0" collapsed="false">
      <c r="A2103" s="1"/>
      <c r="B2103" s="1" t="s">
        <v>2248</v>
      </c>
      <c r="C2103" s="1" t="n">
        <v>1</v>
      </c>
      <c r="E2103" s="11" t="s">
        <v>119</v>
      </c>
      <c r="F2103" s="11" t="str">
        <f aca="false">IFERROR(__xludf.dummyfunction("GOOGLETRANSLATE(B2103,""en"",""ar"")"),"المناقصة")</f>
        <v>المناقصة</v>
      </c>
      <c r="G2103" s="3" t="n">
        <v>0</v>
      </c>
      <c r="H2103" s="3" t="n">
        <v>0</v>
      </c>
    </row>
    <row r="2104" customFormat="false" ht="14.25" hidden="false" customHeight="true" outlineLevel="0" collapsed="false">
      <c r="A2104" s="1"/>
      <c r="B2104" s="1" t="s">
        <v>2249</v>
      </c>
      <c r="C2104" s="1" t="n">
        <v>1</v>
      </c>
      <c r="E2104" s="11" t="s">
        <v>79</v>
      </c>
      <c r="F2104" s="11" t="str">
        <f aca="false">IFERROR(__xludf.dummyfunction("GOOGLETRANSLATE(B2104,""en"",""ar"")"),"عيد الميلاد")</f>
        <v>عيد الميلاد</v>
      </c>
      <c r="G2104" s="3" t="n">
        <v>0</v>
      </c>
      <c r="H2104" s="3" t="n">
        <v>0</v>
      </c>
    </row>
    <row r="2105" customFormat="false" ht="14.25" hidden="false" customHeight="true" outlineLevel="0" collapsed="false">
      <c r="A2105" s="1"/>
      <c r="B2105" s="1" t="s">
        <v>2250</v>
      </c>
      <c r="C2105" s="1" t="n">
        <v>1</v>
      </c>
      <c r="E2105" s="11" t="s">
        <v>148</v>
      </c>
      <c r="F2105" s="11" t="str">
        <f aca="false">IFERROR(__xludf.dummyfunction("GOOGLETRANSLATE(B2105,""en"",""ar"")"),"مر")</f>
        <v>مر</v>
      </c>
      <c r="G2105" s="3" t="n">
        <v>0</v>
      </c>
      <c r="H2105" s="3" t="n">
        <v>0</v>
      </c>
    </row>
    <row r="2106" customFormat="false" ht="14.25" hidden="false" customHeight="true" outlineLevel="0" collapsed="false">
      <c r="A2106" s="1"/>
      <c r="B2106" s="1" t="s">
        <v>2251</v>
      </c>
      <c r="C2106" s="1" t="n">
        <v>1</v>
      </c>
      <c r="E2106" s="11" t="s">
        <v>119</v>
      </c>
      <c r="F2106" s="11" t="str">
        <f aca="false">IFERROR(__xludf.dummyfunction("GOOGLETRANSLATE(B2106,""en"",""ar"")"),"حذاء طويل")</f>
        <v>حذاء طويل</v>
      </c>
      <c r="G2106" s="3" t="n">
        <v>0</v>
      </c>
      <c r="H2106" s="3" t="n">
        <v>0</v>
      </c>
    </row>
    <row r="2107" customFormat="false" ht="14.25" hidden="false" customHeight="true" outlineLevel="0" collapsed="false">
      <c r="A2107" s="1"/>
      <c r="B2107" s="1" t="s">
        <v>2252</v>
      </c>
      <c r="C2107" s="1" t="n">
        <v>1</v>
      </c>
      <c r="E2107" s="11" t="s">
        <v>235</v>
      </c>
      <c r="F2107" s="11" t="str">
        <f aca="false">IFERROR(__xludf.dummyfunction("GOOGLETRANSLATE(B2107,""en"",""ar"")"),"متألق")</f>
        <v>متألق</v>
      </c>
      <c r="G2107" s="3" t="n">
        <v>0</v>
      </c>
      <c r="H2107" s="3" t="n">
        <v>0</v>
      </c>
    </row>
    <row r="2108" customFormat="false" ht="14.25" hidden="false" customHeight="true" outlineLevel="0" collapsed="false">
      <c r="A2108" s="1"/>
      <c r="B2108" s="1" t="s">
        <v>2253</v>
      </c>
      <c r="C2108" s="1" t="n">
        <v>1</v>
      </c>
      <c r="E2108" s="11" t="s">
        <v>119</v>
      </c>
      <c r="F2108" s="11" t="str">
        <f aca="false">IFERROR(__xludf.dummyfunction("GOOGLETRANSLATE(B2108,""en"",""ar"")"),"حشرة")</f>
        <v>حشرة</v>
      </c>
      <c r="G2108" s="3" t="n">
        <v>0</v>
      </c>
      <c r="H2108" s="3" t="n">
        <v>0</v>
      </c>
    </row>
    <row r="2109" customFormat="false" ht="14.25" hidden="false" customHeight="true" outlineLevel="0" collapsed="false">
      <c r="A2109" s="1"/>
      <c r="B2109" s="1" t="s">
        <v>2254</v>
      </c>
      <c r="C2109" s="1" t="n">
        <v>1</v>
      </c>
      <c r="E2109" s="11" t="s">
        <v>128</v>
      </c>
      <c r="F2109" s="11" t="str">
        <f aca="false">IFERROR(__xludf.dummyfunction("GOOGLETRANSLATE(B2109,""en"",""ar"")"),"معسكر")</f>
        <v>معسكر</v>
      </c>
      <c r="G2109" s="3" t="n">
        <v>0</v>
      </c>
      <c r="H2109" s="3" t="n">
        <v>0</v>
      </c>
    </row>
    <row r="2110" customFormat="false" ht="14.25" hidden="false" customHeight="true" outlineLevel="0" collapsed="false">
      <c r="A2110" s="1"/>
      <c r="B2110" s="1" t="s">
        <v>2255</v>
      </c>
      <c r="C2110" s="1" t="n">
        <v>1</v>
      </c>
      <c r="E2110" s="11" t="s">
        <v>119</v>
      </c>
      <c r="F2110" s="11" t="str">
        <f aca="false">IFERROR(__xludf.dummyfunction("GOOGLETRANSLATE(B2110,""en"",""ar"")"),"حلويات")</f>
        <v>حلويات</v>
      </c>
      <c r="G2110" s="3" t="n">
        <v>0</v>
      </c>
      <c r="H2110" s="3" t="n">
        <v>0</v>
      </c>
    </row>
    <row r="2111" customFormat="false" ht="14.25" hidden="false" customHeight="true" outlineLevel="0" collapsed="false">
      <c r="A2111" s="1"/>
      <c r="B2111" s="1" t="s">
        <v>2256</v>
      </c>
      <c r="C2111" s="1" t="n">
        <v>1</v>
      </c>
      <c r="E2111" s="11" t="s">
        <v>119</v>
      </c>
      <c r="F2111" s="11" t="str">
        <f aca="false">IFERROR(__xludf.dummyfunction("GOOGLETRANSLATE(B2111,""en"",""ar"")"),"سجادة")</f>
        <v>سجادة</v>
      </c>
      <c r="G2111" s="3" t="n">
        <v>0</v>
      </c>
      <c r="H2111" s="3" t="n">
        <v>0</v>
      </c>
    </row>
    <row r="2112" customFormat="false" ht="14.25" hidden="false" customHeight="true" outlineLevel="0" collapsed="false">
      <c r="A2112" s="1"/>
      <c r="B2112" s="1" t="s">
        <v>2257</v>
      </c>
      <c r="C2112" s="1" t="n">
        <v>1</v>
      </c>
      <c r="E2112" s="11" t="s">
        <v>119</v>
      </c>
      <c r="F2112" s="11" t="str">
        <f aca="false">IFERROR(__xludf.dummyfunction("GOOGLETRANSLATE(B2112,""en"",""ar"")"),"قط")</f>
        <v>قط</v>
      </c>
      <c r="G2112" s="3" t="n">
        <v>0</v>
      </c>
      <c r="H2112" s="3" t="n">
        <v>0</v>
      </c>
    </row>
    <row r="2113" customFormat="false" ht="14.25" hidden="false" customHeight="true" outlineLevel="0" collapsed="false">
      <c r="A2113" s="1"/>
      <c r="B2113" s="1" t="s">
        <v>2258</v>
      </c>
      <c r="C2113" s="1" t="n">
        <v>1</v>
      </c>
      <c r="E2113" s="11" t="s">
        <v>79</v>
      </c>
      <c r="F2113" s="11" t="str">
        <f aca="false">IFERROR(__xludf.dummyfunction("GOOGLETRANSLATE(B2113,""en"",""ar"")"),"احتفال")</f>
        <v>احتفال</v>
      </c>
      <c r="G2113" s="3" t="n">
        <v>0</v>
      </c>
      <c r="H2113" s="3" t="n">
        <v>0</v>
      </c>
    </row>
    <row r="2114" customFormat="false" ht="14.25" hidden="false" customHeight="true" outlineLevel="0" collapsed="false">
      <c r="A2114" s="1"/>
      <c r="B2114" s="1" t="s">
        <v>2259</v>
      </c>
      <c r="C2114" s="1" t="n">
        <v>1</v>
      </c>
      <c r="E2114" s="11" t="s">
        <v>119</v>
      </c>
      <c r="F2114" s="11" t="str">
        <f aca="false">IFERROR(__xludf.dummyfunction("GOOGLETRANSLATE(B2114,""en"",""ar"")"),"بطل")</f>
        <v>بطل</v>
      </c>
      <c r="G2114" s="3" t="n">
        <v>0</v>
      </c>
      <c r="H2114" s="3" t="n">
        <v>0</v>
      </c>
    </row>
    <row r="2115" customFormat="false" ht="14.25" hidden="false" customHeight="true" outlineLevel="0" collapsed="false">
      <c r="A2115" s="1"/>
      <c r="B2115" s="1" t="s">
        <v>2260</v>
      </c>
      <c r="C2115" s="1" t="n">
        <v>1</v>
      </c>
      <c r="E2115" s="11" t="s">
        <v>79</v>
      </c>
      <c r="F2115" s="11" t="str">
        <f aca="false">IFERROR(__xludf.dummyfunction("GOOGLETRANSLATE(B2115,""en"",""ar"")"),"بطولة")</f>
        <v>بطولة</v>
      </c>
      <c r="G2115" s="3" t="n">
        <v>0</v>
      </c>
      <c r="H2115" s="3" t="n">
        <v>0</v>
      </c>
    </row>
    <row r="2116" customFormat="false" ht="14.25" hidden="false" customHeight="true" outlineLevel="0" collapsed="false">
      <c r="A2116" s="1"/>
      <c r="B2116" s="1" t="s">
        <v>2261</v>
      </c>
      <c r="C2116" s="1" t="n">
        <v>1</v>
      </c>
      <c r="E2116" s="11" t="s">
        <v>119</v>
      </c>
      <c r="F2116" s="11" t="str">
        <f aca="false">IFERROR(__xludf.dummyfunction("GOOGLETRANSLATE(B2116,""en"",""ar"")"),"قناة")</f>
        <v>قناة</v>
      </c>
      <c r="G2116" s="3" t="n">
        <v>0</v>
      </c>
      <c r="H2116" s="3" t="n">
        <v>0</v>
      </c>
    </row>
    <row r="2117" customFormat="false" ht="14.25" hidden="false" customHeight="true" outlineLevel="0" collapsed="false">
      <c r="A2117" s="1"/>
      <c r="B2117" s="1" t="s">
        <v>2262</v>
      </c>
      <c r="C2117" s="1" t="n">
        <v>1</v>
      </c>
      <c r="E2117" s="11" t="s">
        <v>79</v>
      </c>
      <c r="F2117" s="11" t="str">
        <f aca="false">IFERROR(__xludf.dummyfunction("GOOGLETRANSLATE(B2117,""en"",""ar"")"),"الخد")</f>
        <v>الخد</v>
      </c>
      <c r="G2117" s="3" t="n">
        <v>0</v>
      </c>
      <c r="H2117" s="3" t="n">
        <v>0</v>
      </c>
    </row>
    <row r="2118" customFormat="false" ht="14.25" hidden="false" customHeight="true" outlineLevel="0" collapsed="false">
      <c r="A2118" s="1"/>
      <c r="B2118" s="1" t="s">
        <v>2263</v>
      </c>
      <c r="C2118" s="1" t="n">
        <v>1</v>
      </c>
      <c r="E2118" s="11" t="s">
        <v>79</v>
      </c>
      <c r="F2118" s="11" t="str">
        <f aca="false">IFERROR(__xludf.dummyfunction("GOOGLETRANSLATE(B2118,""en"",""ar"")"),"زبون")</f>
        <v>زبون</v>
      </c>
      <c r="G2118" s="3" t="n">
        <v>0</v>
      </c>
      <c r="H2118" s="3" t="n">
        <v>0</v>
      </c>
    </row>
    <row r="2119" customFormat="false" ht="14.25" hidden="false" customHeight="true" outlineLevel="0" collapsed="false">
      <c r="A2119" s="1"/>
      <c r="B2119" s="1" t="s">
        <v>2264</v>
      </c>
      <c r="C2119" s="1" t="n">
        <v>1</v>
      </c>
      <c r="E2119" s="11" t="s">
        <v>119</v>
      </c>
      <c r="F2119" s="11" t="str">
        <f aca="false">IFERROR(__xludf.dummyfunction("GOOGLETRANSLATE(B2119,""en"",""ar"")"),"ساعة")</f>
        <v>ساعة</v>
      </c>
      <c r="G2119" s="3" t="n">
        <v>0</v>
      </c>
      <c r="H2119" s="3" t="n">
        <v>0</v>
      </c>
    </row>
    <row r="2120" customFormat="false" ht="14.25" hidden="false" customHeight="true" outlineLevel="0" collapsed="false">
      <c r="A2120" s="1"/>
      <c r="B2120" s="1" t="s">
        <v>2265</v>
      </c>
      <c r="C2120" s="1" t="n">
        <v>1</v>
      </c>
      <c r="E2120" s="11" t="s">
        <v>119</v>
      </c>
      <c r="F2120" s="11" t="str">
        <f aca="false">IFERROR(__xludf.dummyfunction("GOOGLETRANSLATE(B2120,""en"",""ar"")"),"راحة")</f>
        <v>راحة</v>
      </c>
      <c r="G2120" s="3" t="n">
        <v>0</v>
      </c>
      <c r="H2120" s="3" t="n">
        <v>0</v>
      </c>
    </row>
    <row r="2121" customFormat="false" ht="14.25" hidden="false" customHeight="true" outlineLevel="0" collapsed="false">
      <c r="A2121" s="1"/>
      <c r="B2121" s="1" t="s">
        <v>2266</v>
      </c>
      <c r="C2121" s="1" t="n">
        <v>1</v>
      </c>
      <c r="E2121" s="11" t="s">
        <v>12</v>
      </c>
      <c r="F2121" s="11" t="str">
        <f aca="false">IFERROR(__xludf.dummyfunction("GOOGLETRANSLATE(B2121,""en"",""ar"")"),"ارتكب")</f>
        <v>ارتكب</v>
      </c>
      <c r="G2121" s="3" t="n">
        <v>0</v>
      </c>
      <c r="H2121" s="3" t="n">
        <v>0</v>
      </c>
    </row>
    <row r="2122" customFormat="false" ht="14.25" hidden="false" customHeight="true" outlineLevel="0" collapsed="false">
      <c r="A2122" s="1"/>
      <c r="B2122" s="1" t="s">
        <v>2267</v>
      </c>
      <c r="C2122" s="1" t="n">
        <v>1</v>
      </c>
      <c r="E2122" s="11" t="s">
        <v>112</v>
      </c>
      <c r="F2122" s="11" t="str">
        <f aca="false">IFERROR(__xludf.dummyfunction("GOOGLETRANSLATE(B2122,""en"",""ar"")"),"موثوق")</f>
        <v>موثوق</v>
      </c>
      <c r="G2122" s="3" t="n">
        <v>0</v>
      </c>
      <c r="H2122" s="3" t="n">
        <v>0</v>
      </c>
    </row>
    <row r="2123" customFormat="false" ht="14.25" hidden="false" customHeight="true" outlineLevel="0" collapsed="false">
      <c r="A2123" s="1"/>
      <c r="B2123" s="1" t="s">
        <v>2268</v>
      </c>
      <c r="C2123" s="1" t="n">
        <v>1</v>
      </c>
      <c r="E2123" s="11" t="s">
        <v>112</v>
      </c>
      <c r="F2123" s="11" t="str">
        <f aca="false">IFERROR(__xludf.dummyfunction("GOOGLETRANSLATE(B2123,""en"",""ar"")"),"واع")</f>
        <v>واع</v>
      </c>
      <c r="G2123" s="3" t="n">
        <v>0</v>
      </c>
      <c r="H2123" s="3" t="n">
        <v>0</v>
      </c>
    </row>
    <row r="2124" customFormat="false" ht="14.25" hidden="false" customHeight="true" outlineLevel="0" collapsed="false">
      <c r="A2124" s="1"/>
      <c r="B2124" s="1" t="s">
        <v>2269</v>
      </c>
      <c r="C2124" s="1" t="n">
        <v>1</v>
      </c>
      <c r="E2124" s="11" t="s">
        <v>79</v>
      </c>
      <c r="F2124" s="11" t="str">
        <f aca="false">IFERROR(__xludf.dummyfunction("GOOGLETRANSLATE(B2124,""en"",""ar"")"),"عاقبة")</f>
        <v>عاقبة</v>
      </c>
      <c r="G2124" s="3" t="n">
        <v>0</v>
      </c>
      <c r="H2124" s="3" t="n">
        <v>0</v>
      </c>
    </row>
    <row r="2125" customFormat="false" ht="14.25" hidden="false" customHeight="true" outlineLevel="0" collapsed="false">
      <c r="A2125" s="1"/>
      <c r="B2125" s="1" t="s">
        <v>2270</v>
      </c>
      <c r="C2125" s="1" t="n">
        <v>1</v>
      </c>
      <c r="E2125" s="11" t="s">
        <v>119</v>
      </c>
      <c r="F2125" s="11" t="str">
        <f aca="false">IFERROR(__xludf.dummyfunction("GOOGLETRANSLATE(B2125,""en"",""ar"")"),"بقرة")</f>
        <v>بقرة</v>
      </c>
      <c r="G2125" s="3" t="n">
        <v>0</v>
      </c>
      <c r="H2125" s="3" t="n">
        <v>0</v>
      </c>
    </row>
    <row r="2126" customFormat="false" ht="14.25" hidden="false" customHeight="true" outlineLevel="0" collapsed="false">
      <c r="A2126" s="1"/>
      <c r="B2126" s="1" t="s">
        <v>2271</v>
      </c>
      <c r="C2126" s="1" t="n">
        <v>1</v>
      </c>
      <c r="E2126" s="11" t="s">
        <v>128</v>
      </c>
      <c r="F2126" s="11" t="str">
        <f aca="false">IFERROR(__xludf.dummyfunction("GOOGLETRANSLATE(B2126,""en"",""ar"")"),"كسر")</f>
        <v>كسر</v>
      </c>
      <c r="G2126" s="3" t="n">
        <v>0</v>
      </c>
      <c r="H2126" s="3" t="n">
        <v>0</v>
      </c>
    </row>
    <row r="2127" customFormat="false" ht="14.25" hidden="false" customHeight="true" outlineLevel="0" collapsed="false">
      <c r="A2127" s="1"/>
      <c r="B2127" s="1" t="s">
        <v>2272</v>
      </c>
      <c r="C2127" s="1" t="n">
        <v>1</v>
      </c>
      <c r="E2127" s="11" t="s">
        <v>12</v>
      </c>
      <c r="F2127" s="11" t="str">
        <f aca="false">IFERROR(__xludf.dummyfunction("GOOGLETRANSLATE(B2127,""en"",""ar"")"),"ينتقد")</f>
        <v>ينتقد</v>
      </c>
      <c r="G2127" s="3" t="n">
        <v>0</v>
      </c>
      <c r="H2127" s="3" t="n">
        <v>0</v>
      </c>
    </row>
    <row r="2128" customFormat="false" ht="14.25" hidden="false" customHeight="true" outlineLevel="0" collapsed="false">
      <c r="A2128" s="1"/>
      <c r="B2128" s="1" t="s">
        <v>2273</v>
      </c>
      <c r="C2128" s="1" t="n">
        <v>1</v>
      </c>
      <c r="E2128" s="11" t="s">
        <v>94</v>
      </c>
      <c r="F2128" s="11" t="str">
        <f aca="false">IFERROR(__xludf.dummyfunction("GOOGLETRANSLATE(B2128,""en"",""ar"")"),"جسارة")</f>
        <v>جسارة</v>
      </c>
      <c r="G2128" s="3" t="n">
        <v>0</v>
      </c>
      <c r="H2128" s="3" t="n">
        <v>0</v>
      </c>
    </row>
    <row r="2129" customFormat="false" ht="14.25" hidden="false" customHeight="true" outlineLevel="0" collapsed="false">
      <c r="A2129" s="1"/>
      <c r="B2129" s="1" t="s">
        <v>2274</v>
      </c>
      <c r="C2129" s="1" t="n">
        <v>1</v>
      </c>
      <c r="E2129" s="11" t="s">
        <v>126</v>
      </c>
      <c r="F2129" s="11" t="str">
        <f aca="false">IFERROR(__xludf.dummyfunction("GOOGLETRANSLATE(B2129,""en"",""ar"")"),"العزيز")</f>
        <v>العزيز</v>
      </c>
      <c r="G2129" s="3" t="n">
        <v>0</v>
      </c>
      <c r="H2129" s="3" t="n">
        <v>0</v>
      </c>
    </row>
    <row r="2130" customFormat="false" ht="14.25" hidden="false" customHeight="true" outlineLevel="0" collapsed="false">
      <c r="A2130" s="1"/>
      <c r="B2130" s="1" t="s">
        <v>2275</v>
      </c>
      <c r="C2130" s="1" t="n">
        <v>1</v>
      </c>
      <c r="E2130" s="11" t="s">
        <v>112</v>
      </c>
      <c r="F2130" s="11" t="str">
        <f aca="false">IFERROR(__xludf.dummyfunction("GOOGLETRANSLATE(B2130,""en"",""ar"")"),"مقبول")</f>
        <v>مقبول</v>
      </c>
      <c r="G2130" s="3" t="n">
        <v>0</v>
      </c>
      <c r="H2130" s="3" t="n">
        <v>0</v>
      </c>
    </row>
    <row r="2131" customFormat="false" ht="14.25" hidden="false" customHeight="true" outlineLevel="0" collapsed="false">
      <c r="A2131" s="1"/>
      <c r="B2131" s="1" t="s">
        <v>2276</v>
      </c>
      <c r="C2131" s="1" t="n">
        <v>1</v>
      </c>
      <c r="E2131" s="11" t="s">
        <v>94</v>
      </c>
      <c r="F2131" s="11" t="str">
        <f aca="false">IFERROR(__xludf.dummyfunction("GOOGLETRANSLATE(B2131,""en"",""ar"")"),"تأخير")</f>
        <v>تأخير</v>
      </c>
      <c r="G2131" s="3" t="n">
        <v>0</v>
      </c>
      <c r="H2131" s="3" t="n">
        <v>0</v>
      </c>
    </row>
    <row r="2132" customFormat="false" ht="14.25" hidden="false" customHeight="true" outlineLevel="0" collapsed="false">
      <c r="A2132" s="1"/>
      <c r="B2132" s="1" t="s">
        <v>2277</v>
      </c>
      <c r="C2132" s="1" t="n">
        <v>1</v>
      </c>
      <c r="E2132" s="11" t="s">
        <v>79</v>
      </c>
      <c r="F2132" s="11" t="str">
        <f aca="false">IFERROR(__xludf.dummyfunction("GOOGLETRANSLATE(B2132,""en"",""ar"")"),"الاقلاع")</f>
        <v>الاقلاع</v>
      </c>
      <c r="G2132" s="3" t="n">
        <v>0</v>
      </c>
      <c r="H2132" s="3" t="n">
        <v>0</v>
      </c>
    </row>
    <row r="2133" customFormat="false" ht="14.25" hidden="false" customHeight="true" outlineLevel="0" collapsed="false">
      <c r="A2133" s="1"/>
      <c r="B2133" s="1" t="s">
        <v>2278</v>
      </c>
      <c r="C2133" s="1" t="n">
        <v>1</v>
      </c>
      <c r="E2133" s="11" t="s">
        <v>12</v>
      </c>
      <c r="F2133" s="11" t="str">
        <f aca="false">IFERROR(__xludf.dummyfunction("GOOGLETRANSLATE(B2133,""en"",""ar"")"),"استحق")</f>
        <v>استحق</v>
      </c>
      <c r="G2133" s="3" t="n">
        <v>0</v>
      </c>
      <c r="H2133" s="3" t="n">
        <v>0</v>
      </c>
    </row>
    <row r="2134" customFormat="false" ht="14.25" hidden="false" customHeight="true" outlineLevel="0" collapsed="false">
      <c r="A2134" s="1"/>
      <c r="B2134" s="1" t="s">
        <v>2279</v>
      </c>
      <c r="C2134" s="1" t="n">
        <v>1</v>
      </c>
      <c r="E2134" s="11" t="s">
        <v>12</v>
      </c>
      <c r="F2134" s="11" t="str">
        <f aca="false">IFERROR(__xludf.dummyfunction("GOOGLETRANSLATE(B2134,""en"",""ar"")"),"هدم")</f>
        <v>هدم</v>
      </c>
      <c r="G2134" s="3" t="n">
        <v>0</v>
      </c>
      <c r="H2134" s="3" t="n">
        <v>0</v>
      </c>
    </row>
    <row r="2135" customFormat="false" ht="14.25" hidden="false" customHeight="true" outlineLevel="0" collapsed="false">
      <c r="A2135" s="1"/>
      <c r="B2135" s="1" t="s">
        <v>2280</v>
      </c>
      <c r="C2135" s="1" t="n">
        <v>1</v>
      </c>
      <c r="E2135" s="11" t="s">
        <v>79</v>
      </c>
      <c r="F2135" s="11" t="str">
        <f aca="false">IFERROR(__xludf.dummyfunction("GOOGLETRANSLATE(B2135,""en"",""ar"")"),"الماس")</f>
        <v>الماس</v>
      </c>
      <c r="G2135" s="3" t="n">
        <v>0</v>
      </c>
      <c r="H2135" s="3" t="n">
        <v>0</v>
      </c>
    </row>
    <row r="2136" customFormat="false" ht="14.25" hidden="false" customHeight="true" outlineLevel="0" collapsed="false">
      <c r="A2136" s="1"/>
      <c r="B2136" s="1" t="s">
        <v>2281</v>
      </c>
      <c r="C2136" s="1" t="n">
        <v>1</v>
      </c>
      <c r="E2136" s="11" t="s">
        <v>79</v>
      </c>
      <c r="F2136" s="11" t="str">
        <f aca="false">IFERROR(__xludf.dummyfunction("GOOGLETRANSLATE(B2136,""en"",""ar"")"),"التراب")</f>
        <v>التراب</v>
      </c>
      <c r="G2136" s="3" t="n">
        <v>0</v>
      </c>
      <c r="H2136" s="3" t="n">
        <v>0</v>
      </c>
    </row>
    <row r="2137" customFormat="false" ht="14.25" hidden="false" customHeight="true" outlineLevel="0" collapsed="false">
      <c r="A2137" s="1"/>
      <c r="B2137" s="1" t="s">
        <v>2282</v>
      </c>
      <c r="C2137" s="1" t="n">
        <v>1</v>
      </c>
      <c r="E2137" s="11" t="s">
        <v>87</v>
      </c>
      <c r="F2137" s="11" t="str">
        <f aca="false">IFERROR(__xludf.dummyfunction("GOOGLETRANSLATE(B2137,""en"",""ar"")"),"خائب الامل")</f>
        <v>خائب الامل</v>
      </c>
      <c r="G2137" s="3" t="n">
        <v>0</v>
      </c>
      <c r="H2137" s="3" t="n">
        <v>0</v>
      </c>
    </row>
    <row r="2138" customFormat="false" ht="14.25" hidden="false" customHeight="true" outlineLevel="0" collapsed="false">
      <c r="A2138" s="1"/>
      <c r="B2138" s="1" t="s">
        <v>2283</v>
      </c>
      <c r="C2138" s="1" t="n">
        <v>1</v>
      </c>
      <c r="E2138" s="11" t="s">
        <v>235</v>
      </c>
      <c r="F2138" s="11" t="str">
        <f aca="false">IFERROR(__xludf.dummyfunction("GOOGLETRANSLATE(B2138,""en"",""ar"")"),"سكران")</f>
        <v>سكران</v>
      </c>
      <c r="G2138" s="3" t="n">
        <v>0</v>
      </c>
      <c r="H2138" s="3" t="n">
        <v>0</v>
      </c>
    </row>
    <row r="2139" customFormat="false" ht="14.25" hidden="false" customHeight="true" outlineLevel="0" collapsed="false">
      <c r="A2139" s="1"/>
      <c r="B2139" s="1" t="s">
        <v>2284</v>
      </c>
      <c r="C2139" s="1" t="n">
        <v>1</v>
      </c>
      <c r="E2139" s="11" t="s">
        <v>79</v>
      </c>
      <c r="F2139" s="11" t="str">
        <f aca="false">IFERROR(__xludf.dummyfunction("GOOGLETRANSLATE(B2139,""en"",""ar"")"),"أذن")</f>
        <v>أذن</v>
      </c>
      <c r="G2139" s="3" t="n">
        <v>0</v>
      </c>
      <c r="H2139" s="3" t="n">
        <v>0</v>
      </c>
    </row>
    <row r="2140" customFormat="false" ht="14.25" hidden="false" customHeight="true" outlineLevel="0" collapsed="false">
      <c r="A2140" s="1"/>
      <c r="B2140" s="1" t="s">
        <v>2285</v>
      </c>
      <c r="C2140" s="1" t="n">
        <v>1</v>
      </c>
      <c r="E2140" s="11" t="s">
        <v>112</v>
      </c>
      <c r="F2140" s="11" t="str">
        <f aca="false">IFERROR(__xludf.dummyfunction("GOOGLETRANSLATE(B2140,""en"",""ar"")"),"بالإحراج")</f>
        <v>بالإحراج</v>
      </c>
      <c r="G2140" s="3" t="n">
        <v>0</v>
      </c>
      <c r="H2140" s="3" t="n">
        <v>0</v>
      </c>
    </row>
    <row r="2141" customFormat="false" ht="14.25" hidden="false" customHeight="true" outlineLevel="0" collapsed="false">
      <c r="A2141" s="1"/>
      <c r="B2141" s="1" t="s">
        <v>2286</v>
      </c>
      <c r="C2141" s="1" t="n">
        <v>1</v>
      </c>
      <c r="E2141" s="11" t="s">
        <v>509</v>
      </c>
      <c r="F2141" s="11" t="str">
        <f aca="false">IFERROR(__xludf.dummyfunction("GOOGLETRANSLATE(B2141,""en"",""ar"")"),"فارغة")</f>
        <v>فارغة</v>
      </c>
      <c r="G2141" s="3" t="n">
        <v>0</v>
      </c>
      <c r="H2141" s="3" t="n">
        <v>0</v>
      </c>
    </row>
    <row r="2142" customFormat="false" ht="14.25" hidden="false" customHeight="true" outlineLevel="0" collapsed="false">
      <c r="A2142" s="1"/>
      <c r="B2142" s="1" t="s">
        <v>2287</v>
      </c>
      <c r="C2142" s="1" t="n">
        <v>1</v>
      </c>
      <c r="E2142" s="11" t="s">
        <v>119</v>
      </c>
      <c r="F2142" s="11" t="str">
        <f aca="false">IFERROR(__xludf.dummyfunction("GOOGLETRANSLATE(B2142,""en"",""ar"")"),"مهندس")</f>
        <v>مهندس</v>
      </c>
      <c r="G2142" s="3" t="n">
        <v>0</v>
      </c>
      <c r="H2142" s="3" t="n">
        <v>0</v>
      </c>
    </row>
    <row r="2143" customFormat="false" ht="14.25" hidden="false" customHeight="true" outlineLevel="0" collapsed="false">
      <c r="A2143" s="1"/>
      <c r="B2143" s="1" t="s">
        <v>2288</v>
      </c>
      <c r="C2143" s="1" t="n">
        <v>1</v>
      </c>
      <c r="E2143" s="11" t="s">
        <v>119</v>
      </c>
      <c r="F2143" s="11" t="str">
        <f aca="false">IFERROR(__xludf.dummyfunction("GOOGLETRANSLATE(B2143,""en"",""ar"")"),"مدخل")</f>
        <v>مدخل</v>
      </c>
      <c r="G2143" s="3" t="n">
        <v>0</v>
      </c>
      <c r="H2143" s="3" t="n">
        <v>0</v>
      </c>
    </row>
    <row r="2144" customFormat="false" ht="14.25" hidden="false" customHeight="true" outlineLevel="0" collapsed="false">
      <c r="A2144" s="1"/>
      <c r="B2144" s="1" t="s">
        <v>2289</v>
      </c>
      <c r="C2144" s="1" t="n">
        <v>1</v>
      </c>
      <c r="E2144" s="11" t="s">
        <v>119</v>
      </c>
      <c r="F2144" s="11" t="str">
        <f aca="false">IFERROR(__xludf.dummyfunction("GOOGLETRANSLATE(B2144,""en"",""ar"")"),"خطأ")</f>
        <v>خطأ</v>
      </c>
      <c r="G2144" s="3" t="n">
        <v>0</v>
      </c>
      <c r="H2144" s="3" t="n">
        <v>0</v>
      </c>
    </row>
    <row r="2145" customFormat="false" ht="14.25" hidden="false" customHeight="true" outlineLevel="0" collapsed="false">
      <c r="A2145" s="1"/>
      <c r="B2145" s="1" t="s">
        <v>2290</v>
      </c>
      <c r="C2145" s="1" t="n">
        <v>1</v>
      </c>
      <c r="E2145" s="11" t="s">
        <v>235</v>
      </c>
      <c r="F2145" s="11" t="str">
        <f aca="false">IFERROR(__xludf.dummyfunction("GOOGLETRANSLATE(B2145,""en"",""ar"")"),"أنثى")</f>
        <v>أنثى</v>
      </c>
      <c r="G2145" s="3" t="n">
        <v>0</v>
      </c>
      <c r="H2145" s="3" t="n">
        <v>0</v>
      </c>
    </row>
    <row r="2146" customFormat="false" ht="14.25" hidden="false" customHeight="true" outlineLevel="0" collapsed="false">
      <c r="A2146" s="1"/>
      <c r="B2146" s="1" t="s">
        <v>2291</v>
      </c>
      <c r="C2146" s="1" t="n">
        <v>1</v>
      </c>
      <c r="E2146" s="11" t="s">
        <v>79</v>
      </c>
      <c r="F2146" s="11" t="str">
        <f aca="false">IFERROR(__xludf.dummyfunction("GOOGLETRANSLATE(B2146,""en"",""ar"")"),"حظ")</f>
        <v>حظ</v>
      </c>
      <c r="G2146" s="3" t="n">
        <v>0</v>
      </c>
      <c r="H2146" s="3" t="n">
        <v>0</v>
      </c>
    </row>
    <row r="2147" customFormat="false" ht="14.25" hidden="false" customHeight="true" outlineLevel="0" collapsed="false">
      <c r="A2147" s="1"/>
      <c r="B2147" s="1" t="s">
        <v>2292</v>
      </c>
      <c r="C2147" s="1" t="n">
        <v>1</v>
      </c>
      <c r="E2147" s="11" t="s">
        <v>79</v>
      </c>
      <c r="F2147" s="11" t="str">
        <f aca="false">IFERROR(__xludf.dummyfunction("GOOGLETRANSLATE(B2147,""en"",""ar"")"),"صداقة")</f>
        <v>صداقة</v>
      </c>
      <c r="G2147" s="3" t="n">
        <v>0</v>
      </c>
      <c r="H2147" s="3" t="n">
        <v>0</v>
      </c>
    </row>
    <row r="2148" customFormat="false" ht="14.25" hidden="false" customHeight="true" outlineLevel="0" collapsed="false">
      <c r="A2148" s="1"/>
      <c r="B2148" s="1" t="s">
        <v>2293</v>
      </c>
      <c r="C2148" s="1" t="n">
        <v>1</v>
      </c>
      <c r="E2148" s="11" t="s">
        <v>79</v>
      </c>
      <c r="F2148" s="11" t="str">
        <f aca="false">IFERROR(__xludf.dummyfunction("GOOGLETRANSLATE(B2148,""en"",""ar"")"),"جنازة")</f>
        <v>جنازة</v>
      </c>
      <c r="G2148" s="3" t="n">
        <v>0</v>
      </c>
      <c r="H2148" s="3" t="n">
        <v>0</v>
      </c>
    </row>
    <row r="2149" customFormat="false" ht="14.25" hidden="false" customHeight="true" outlineLevel="0" collapsed="false">
      <c r="A2149" s="1"/>
      <c r="B2149" s="1" t="s">
        <v>2294</v>
      </c>
      <c r="C2149" s="1" t="n">
        <v>1</v>
      </c>
      <c r="E2149" s="11" t="s">
        <v>79</v>
      </c>
      <c r="F2149" s="11" t="str">
        <f aca="false">IFERROR(__xludf.dummyfunction("GOOGLETRANSLATE(B2149,""en"",""ar"")"),"جينة")</f>
        <v>جينة</v>
      </c>
      <c r="G2149" s="3" t="n">
        <v>0</v>
      </c>
      <c r="H2149" s="3" t="n">
        <v>0</v>
      </c>
    </row>
    <row r="2150" customFormat="false" ht="14.25" hidden="false" customHeight="true" outlineLevel="0" collapsed="false">
      <c r="A2150" s="1"/>
      <c r="B2150" s="1" t="s">
        <v>2295</v>
      </c>
      <c r="C2150" s="1" t="n">
        <v>1</v>
      </c>
      <c r="E2150" s="11" t="s">
        <v>79</v>
      </c>
      <c r="F2150" s="11" t="str">
        <f aca="false">IFERROR(__xludf.dummyfunction("GOOGLETRANSLATE(B2150,""en"",""ar"")"),"صديقة")</f>
        <v>صديقة</v>
      </c>
      <c r="G2150" s="3" t="n">
        <v>0</v>
      </c>
      <c r="H2150" s="3" t="n">
        <v>0</v>
      </c>
    </row>
    <row r="2151" customFormat="false" ht="14.25" hidden="false" customHeight="true" outlineLevel="0" collapsed="false">
      <c r="A2151" s="1"/>
      <c r="B2151" s="1" t="s">
        <v>2296</v>
      </c>
      <c r="C2151" s="1" t="n">
        <v>1</v>
      </c>
      <c r="E2151" s="11" t="s">
        <v>119</v>
      </c>
      <c r="F2151" s="11" t="str">
        <f aca="false">IFERROR(__xludf.dummyfunction("GOOGLETRANSLATE(B2151,""en"",""ar"")"),"نجيل")</f>
        <v>نجيل</v>
      </c>
      <c r="G2151" s="3" t="n">
        <v>0</v>
      </c>
      <c r="H2151" s="3" t="n">
        <v>0</v>
      </c>
    </row>
    <row r="2152" customFormat="false" ht="14.25" hidden="false" customHeight="true" outlineLevel="0" collapsed="false">
      <c r="A2152" s="1"/>
      <c r="B2152" s="1" t="s">
        <v>2297</v>
      </c>
      <c r="C2152" s="1" t="n">
        <v>1</v>
      </c>
      <c r="E2152" s="11" t="s">
        <v>112</v>
      </c>
      <c r="F2152" s="11" t="str">
        <f aca="false">IFERROR(__xludf.dummyfunction("GOOGLETRANSLATE(B2152,""en"",""ar"")"),"مذنب")</f>
        <v>مذنب</v>
      </c>
      <c r="G2152" s="3" t="n">
        <v>0</v>
      </c>
      <c r="H2152" s="3" t="n">
        <v>0</v>
      </c>
    </row>
    <row r="2153" customFormat="false" ht="14.25" hidden="false" customHeight="true" outlineLevel="0" collapsed="false">
      <c r="A2153" s="1"/>
      <c r="B2153" s="1" t="s">
        <v>2298</v>
      </c>
      <c r="C2153" s="1" t="n">
        <v>1</v>
      </c>
      <c r="E2153" s="11" t="s">
        <v>119</v>
      </c>
      <c r="F2153" s="11" t="str">
        <f aca="false">IFERROR(__xludf.dummyfunction("GOOGLETRANSLATE(B2153,""en"",""ar"")"),"شاب")</f>
        <v>شاب</v>
      </c>
      <c r="G2153" s="3" t="n">
        <v>0</v>
      </c>
      <c r="H2153" s="3" t="n">
        <v>0</v>
      </c>
    </row>
    <row r="2154" customFormat="false" ht="14.25" hidden="false" customHeight="true" outlineLevel="0" collapsed="false">
      <c r="A2154" s="1"/>
      <c r="B2154" s="1" t="s">
        <v>2299</v>
      </c>
      <c r="C2154" s="1" t="n">
        <v>1</v>
      </c>
      <c r="E2154" s="11" t="s">
        <v>79</v>
      </c>
      <c r="F2154" s="11" t="str">
        <f aca="false">IFERROR(__xludf.dummyfunction("GOOGLETRANSLATE(B2154,""en"",""ar"")"),"قبعة")</f>
        <v>قبعة</v>
      </c>
      <c r="G2154" s="3" t="n">
        <v>0</v>
      </c>
      <c r="H2154" s="3" t="n">
        <v>0</v>
      </c>
    </row>
    <row r="2155" customFormat="false" ht="14.25" hidden="false" customHeight="true" outlineLevel="0" collapsed="false">
      <c r="A2155" s="1"/>
      <c r="B2155" s="1" t="s">
        <v>2300</v>
      </c>
      <c r="C2155" s="1" t="n">
        <v>1</v>
      </c>
      <c r="E2155" s="11" t="s">
        <v>1837</v>
      </c>
      <c r="F2155" s="11" t="str">
        <f aca="false">IFERROR(__xludf.dummyfunction("GOOGLETRANSLATE(B2155,""en"",""ar"")"),"الجحيم")</f>
        <v>الجحيم</v>
      </c>
      <c r="G2155" s="3" t="n">
        <v>0</v>
      </c>
      <c r="H2155" s="3" t="n">
        <v>0</v>
      </c>
    </row>
    <row r="2156" customFormat="false" ht="14.25" hidden="false" customHeight="true" outlineLevel="0" collapsed="false">
      <c r="A2156" s="1"/>
      <c r="B2156" s="1" t="s">
        <v>2301</v>
      </c>
      <c r="C2156" s="1" t="n">
        <v>1</v>
      </c>
      <c r="E2156" s="11" t="s">
        <v>12</v>
      </c>
      <c r="F2156" s="11" t="str">
        <f aca="false">IFERROR(__xludf.dummyfunction("GOOGLETRANSLATE(B2156,""en"",""ar"")"),"يتردد")</f>
        <v>يتردد</v>
      </c>
      <c r="G2156" s="3" t="n">
        <v>0</v>
      </c>
      <c r="H2156" s="3" t="n">
        <v>0</v>
      </c>
    </row>
    <row r="2157" customFormat="false" ht="14.25" hidden="false" customHeight="true" outlineLevel="0" collapsed="false">
      <c r="A2157" s="1"/>
      <c r="B2157" s="1" t="s">
        <v>2302</v>
      </c>
      <c r="C2157" s="1" t="n">
        <v>1</v>
      </c>
      <c r="E2157" s="11" t="s">
        <v>119</v>
      </c>
      <c r="F2157" s="11" t="str">
        <f aca="false">IFERROR(__xludf.dummyfunction("GOOGLETRANSLATE(B2157,""en"",""ar"")"),"تسليط الضوء")</f>
        <v>تسليط الضوء</v>
      </c>
      <c r="G2157" s="3" t="n">
        <v>0</v>
      </c>
      <c r="H2157" s="3" t="n">
        <v>0</v>
      </c>
    </row>
    <row r="2158" customFormat="false" ht="14.25" hidden="false" customHeight="true" outlineLevel="0" collapsed="false">
      <c r="A2158" s="1"/>
      <c r="B2158" s="1" t="s">
        <v>2303</v>
      </c>
      <c r="C2158" s="1" t="n">
        <v>1</v>
      </c>
      <c r="E2158" s="11" t="s">
        <v>42</v>
      </c>
      <c r="F2158" s="11" t="str">
        <f aca="false">IFERROR(__xludf.dummyfunction("GOOGLETRANSLATE(B2158,""en"",""ar"")"),"بصدق")</f>
        <v>بصدق</v>
      </c>
      <c r="G2158" s="3" t="n">
        <v>0</v>
      </c>
      <c r="H2158" s="3" t="n">
        <v>0</v>
      </c>
    </row>
    <row r="2159" customFormat="false" ht="14.25" hidden="false" customHeight="true" outlineLevel="0" collapsed="false">
      <c r="A2159" s="1"/>
      <c r="B2159" s="1" t="s">
        <v>2304</v>
      </c>
      <c r="C2159" s="1" t="n">
        <v>1</v>
      </c>
      <c r="E2159" s="11" t="s">
        <v>94</v>
      </c>
      <c r="F2159" s="11" t="str">
        <f aca="false">IFERROR(__xludf.dummyfunction("GOOGLETRANSLATE(B2159,""en"",""ar"")"),"عجل")</f>
        <v>عجل</v>
      </c>
      <c r="G2159" s="3" t="n">
        <v>0</v>
      </c>
      <c r="H2159" s="3" t="n">
        <v>0</v>
      </c>
    </row>
    <row r="2160" customFormat="false" ht="14.25" hidden="false" customHeight="true" outlineLevel="0" collapsed="false">
      <c r="A2160" s="1"/>
      <c r="B2160" s="1" t="s">
        <v>2305</v>
      </c>
      <c r="C2160" s="1" t="n">
        <v>1</v>
      </c>
      <c r="E2160" s="11" t="s">
        <v>12</v>
      </c>
      <c r="F2160" s="11" t="str">
        <f aca="false">IFERROR(__xludf.dummyfunction("GOOGLETRANSLATE(B2160,""en"",""ar"")"),"توضيح")</f>
        <v>توضيح</v>
      </c>
      <c r="G2160" s="3" t="n">
        <v>0</v>
      </c>
      <c r="H2160" s="3" t="n">
        <v>0</v>
      </c>
    </row>
    <row r="2161" customFormat="false" ht="14.25" hidden="false" customHeight="true" outlineLevel="0" collapsed="false">
      <c r="A2161" s="1"/>
      <c r="B2161" s="1" t="s">
        <v>2306</v>
      </c>
      <c r="C2161" s="1" t="n">
        <v>1</v>
      </c>
      <c r="E2161" s="11" t="s">
        <v>148</v>
      </c>
      <c r="F2161" s="11" t="str">
        <f aca="false">IFERROR(__xludf.dummyfunction("GOOGLETRANSLATE(B2161,""en"",""ar"")"),"حادث")</f>
        <v>حادث</v>
      </c>
      <c r="G2161" s="3" t="n">
        <v>0</v>
      </c>
      <c r="H2161" s="3" t="n">
        <v>0</v>
      </c>
    </row>
    <row r="2162" customFormat="false" ht="14.25" hidden="false" customHeight="true" outlineLevel="0" collapsed="false">
      <c r="A2162" s="1"/>
      <c r="B2162" s="1" t="s">
        <v>2307</v>
      </c>
      <c r="C2162" s="1" t="n">
        <v>1</v>
      </c>
      <c r="E2162" s="11" t="s">
        <v>79</v>
      </c>
      <c r="F2162" s="11" t="str">
        <f aca="false">IFERROR(__xludf.dummyfunction("GOOGLETRANSLATE(B2162,""en"",""ar"")"),"إشارة")</f>
        <v>إشارة</v>
      </c>
      <c r="G2162" s="3" t="n">
        <v>0</v>
      </c>
      <c r="H2162" s="3" t="n">
        <v>0</v>
      </c>
    </row>
    <row r="2163" customFormat="false" ht="14.25" hidden="false" customHeight="true" outlineLevel="0" collapsed="false">
      <c r="A2163" s="1"/>
      <c r="B2163" s="1" t="s">
        <v>2308</v>
      </c>
      <c r="C2163" s="1" t="n">
        <v>1</v>
      </c>
      <c r="E2163" s="11" t="s">
        <v>235</v>
      </c>
      <c r="F2163" s="11" t="str">
        <f aca="false">IFERROR(__xludf.dummyfunction("GOOGLETRANSLATE(B2163,""en"",""ar"")"),"حتمي")</f>
        <v>حتمي</v>
      </c>
      <c r="G2163" s="3" t="n">
        <v>0</v>
      </c>
      <c r="H2163" s="3" t="n">
        <v>0</v>
      </c>
    </row>
    <row r="2164" customFormat="false" ht="14.25" hidden="false" customHeight="true" outlineLevel="0" collapsed="false">
      <c r="A2164" s="1"/>
      <c r="B2164" s="1" t="s">
        <v>2309</v>
      </c>
      <c r="C2164" s="1" t="n">
        <v>1</v>
      </c>
      <c r="E2164" s="11" t="s">
        <v>12</v>
      </c>
      <c r="F2164" s="11" t="str">
        <f aca="false">IFERROR(__xludf.dummyfunction("GOOGLETRANSLATE(B2164,""en"",""ar"")"),"يخبر")</f>
        <v>يخبر</v>
      </c>
      <c r="G2164" s="3" t="n">
        <v>0</v>
      </c>
      <c r="H2164" s="3" t="n">
        <v>0</v>
      </c>
    </row>
    <row r="2165" customFormat="false" ht="14.25" hidden="false" customHeight="true" outlineLevel="0" collapsed="false">
      <c r="A2165" s="1"/>
      <c r="B2165" s="1" t="s">
        <v>2310</v>
      </c>
      <c r="C2165" s="1" t="n">
        <v>1</v>
      </c>
      <c r="E2165" s="11" t="s">
        <v>79</v>
      </c>
      <c r="F2165" s="11" t="str">
        <f aca="false">IFERROR(__xludf.dummyfunction("GOOGLETRANSLATE(B2165,""en"",""ar"")"),"نية")</f>
        <v>نية</v>
      </c>
      <c r="G2165" s="3" t="n">
        <v>0</v>
      </c>
      <c r="H2165" s="3" t="n">
        <v>0</v>
      </c>
    </row>
    <row r="2166" customFormat="false" ht="14.25" hidden="false" customHeight="true" outlineLevel="0" collapsed="false">
      <c r="A2166" s="1"/>
      <c r="B2166" s="1" t="s">
        <v>2311</v>
      </c>
      <c r="C2166" s="1" t="n">
        <v>1</v>
      </c>
      <c r="E2166" s="11" t="s">
        <v>94</v>
      </c>
      <c r="F2166" s="11" t="str">
        <f aca="false">IFERROR(__xludf.dummyfunction("GOOGLETRANSLATE(B2166,""en"",""ar"")"),"يدعو")</f>
        <v>يدعو</v>
      </c>
      <c r="G2166" s="3" t="n">
        <v>0</v>
      </c>
      <c r="H2166" s="3" t="n">
        <v>0</v>
      </c>
    </row>
    <row r="2167" customFormat="false" ht="14.25" hidden="false" customHeight="true" outlineLevel="0" collapsed="false">
      <c r="A2167" s="1"/>
      <c r="B2167" s="1" t="s">
        <v>2312</v>
      </c>
      <c r="C2167" s="1" t="n">
        <v>1</v>
      </c>
      <c r="E2167" s="11" t="s">
        <v>119</v>
      </c>
      <c r="F2167" s="11" t="str">
        <f aca="false">IFERROR(__xludf.dummyfunction("GOOGLETRANSLATE(B2167,""en"",""ar"")"),"جزيرة")</f>
        <v>جزيرة</v>
      </c>
      <c r="G2167" s="3" t="n">
        <v>0</v>
      </c>
      <c r="H2167" s="3" t="n">
        <v>0</v>
      </c>
    </row>
    <row r="2168" customFormat="false" ht="14.25" hidden="false" customHeight="true" outlineLevel="0" collapsed="false">
      <c r="A2168" s="1"/>
      <c r="B2168" s="1" t="s">
        <v>2313</v>
      </c>
      <c r="C2168" s="1" t="n">
        <v>1</v>
      </c>
      <c r="E2168" s="11" t="s">
        <v>119</v>
      </c>
      <c r="F2168" s="11" t="str">
        <f aca="false">IFERROR(__xludf.dummyfunction("GOOGLETRANSLATE(B2168,""en"",""ar"")"),"نكتة")</f>
        <v>نكتة</v>
      </c>
      <c r="G2168" s="3" t="n">
        <v>0</v>
      </c>
      <c r="H2168" s="3" t="n">
        <v>0</v>
      </c>
    </row>
    <row r="2169" customFormat="false" ht="14.25" hidden="false" customHeight="true" outlineLevel="0" collapsed="false">
      <c r="A2169" s="1"/>
      <c r="B2169" s="1" t="s">
        <v>2314</v>
      </c>
      <c r="C2169" s="1" t="n">
        <v>1</v>
      </c>
      <c r="E2169" s="11" t="s">
        <v>128</v>
      </c>
      <c r="F2169" s="11" t="str">
        <f aca="false">IFERROR(__xludf.dummyfunction("GOOGLETRANSLATE(B2169,""en"",""ar"")"),"هيئة المحلفين")</f>
        <v>هيئة المحلفين</v>
      </c>
      <c r="G2169" s="3" t="n">
        <v>0</v>
      </c>
      <c r="H2169" s="3" t="n">
        <v>0</v>
      </c>
    </row>
    <row r="2170" customFormat="false" ht="14.25" hidden="false" customHeight="true" outlineLevel="0" collapsed="false">
      <c r="A2170" s="1"/>
      <c r="B2170" s="1" t="s">
        <v>2315</v>
      </c>
      <c r="C2170" s="1" t="n">
        <v>1</v>
      </c>
      <c r="E2170" s="11" t="s">
        <v>94</v>
      </c>
      <c r="F2170" s="11" t="str">
        <f aca="false">IFERROR(__xludf.dummyfunction("GOOGLETRANSLATE(B2170,""en"",""ar"")"),"قبلة")</f>
        <v>قبلة</v>
      </c>
      <c r="G2170" s="3" t="n">
        <v>0</v>
      </c>
      <c r="H2170" s="3" t="n">
        <v>0</v>
      </c>
    </row>
    <row r="2171" customFormat="false" ht="14.25" hidden="false" customHeight="true" outlineLevel="0" collapsed="false">
      <c r="A2171" s="1"/>
      <c r="B2171" s="1" t="s">
        <v>2316</v>
      </c>
      <c r="C2171" s="1" t="n">
        <v>1</v>
      </c>
      <c r="E2171" s="11" t="s">
        <v>79</v>
      </c>
      <c r="F2171" s="11" t="str">
        <f aca="false">IFERROR(__xludf.dummyfunction("GOOGLETRANSLATE(B2171,""en"",""ar"")"),"سيدة")</f>
        <v>سيدة</v>
      </c>
      <c r="G2171" s="3" t="n">
        <v>0</v>
      </c>
      <c r="H2171" s="3" t="n">
        <v>0</v>
      </c>
    </row>
    <row r="2172" customFormat="false" ht="14.25" hidden="false" customHeight="true" outlineLevel="0" collapsed="false">
      <c r="A2172" s="1"/>
      <c r="B2172" s="1" t="s">
        <v>2317</v>
      </c>
      <c r="C2172" s="1" t="n">
        <v>1</v>
      </c>
      <c r="E2172" s="11" t="s">
        <v>119</v>
      </c>
      <c r="F2172" s="11" t="str">
        <f aca="false">IFERROR(__xludf.dummyfunction("GOOGLETRANSLATE(B2172,""en"",""ar"")"),"ساق")</f>
        <v>ساق</v>
      </c>
      <c r="G2172" s="3" t="n">
        <v>0</v>
      </c>
      <c r="H2172" s="3" t="n">
        <v>0</v>
      </c>
    </row>
    <row r="2173" customFormat="false" ht="14.25" hidden="false" customHeight="true" outlineLevel="0" collapsed="false">
      <c r="A2173" s="1"/>
      <c r="B2173" s="1" t="s">
        <v>2318</v>
      </c>
      <c r="C2173" s="1" t="n">
        <v>1</v>
      </c>
      <c r="E2173" s="11" t="s">
        <v>119</v>
      </c>
      <c r="F2173" s="11" t="str">
        <f aca="false">IFERROR(__xludf.dummyfunction("GOOGLETRANSLATE(B2173,""en"",""ar"")"),"شفة")</f>
        <v>شفة</v>
      </c>
      <c r="G2173" s="3" t="n">
        <v>0</v>
      </c>
      <c r="H2173" s="3" t="n">
        <v>0</v>
      </c>
    </row>
    <row r="2174" customFormat="false" ht="14.25" hidden="false" customHeight="true" outlineLevel="0" collapsed="false">
      <c r="A2174" s="1"/>
      <c r="B2174" s="1" t="s">
        <v>2319</v>
      </c>
      <c r="C2174" s="1" t="n">
        <v>1</v>
      </c>
      <c r="E2174" s="11" t="s">
        <v>112</v>
      </c>
      <c r="F2174" s="11" t="str">
        <f aca="false">IFERROR(__xludf.dummyfunction("GOOGLETRANSLATE(B2174,""en"",""ar"")"),"وحيد")</f>
        <v>وحيد</v>
      </c>
      <c r="G2174" s="3" t="n">
        <v>0</v>
      </c>
      <c r="H2174" s="3" t="n">
        <v>0</v>
      </c>
    </row>
    <row r="2175" customFormat="false" ht="14.25" hidden="false" customHeight="true" outlineLevel="0" collapsed="false">
      <c r="A2175" s="1"/>
      <c r="B2175" s="1" t="s">
        <v>2320</v>
      </c>
      <c r="C2175" s="1" t="n">
        <v>1</v>
      </c>
      <c r="E2175" s="11" t="s">
        <v>112</v>
      </c>
      <c r="F2175" s="11" t="str">
        <f aca="false">IFERROR(__xludf.dummyfunction("GOOGLETRANSLATE(B2175,""en"",""ar"")"),"مجنون")</f>
        <v>مجنون</v>
      </c>
      <c r="G2175" s="3" t="n">
        <v>0</v>
      </c>
      <c r="H2175" s="3" t="n">
        <v>0</v>
      </c>
    </row>
    <row r="2176" customFormat="false" ht="14.25" hidden="false" customHeight="true" outlineLevel="0" collapsed="false">
      <c r="A2176" s="1"/>
      <c r="B2176" s="1" t="s">
        <v>2321</v>
      </c>
      <c r="C2176" s="1" t="n">
        <v>1</v>
      </c>
      <c r="E2176" s="11" t="s">
        <v>12</v>
      </c>
      <c r="F2176" s="11" t="str">
        <f aca="false">IFERROR(__xludf.dummyfunction("GOOGLETRANSLATE(B2176,""en"",""ar"")"),"تصنيع")</f>
        <v>تصنيع</v>
      </c>
      <c r="G2176" s="3" t="n">
        <v>0</v>
      </c>
      <c r="H2176" s="3" t="n">
        <v>0</v>
      </c>
    </row>
    <row r="2177" customFormat="false" ht="14.25" hidden="false" customHeight="true" outlineLevel="0" collapsed="false">
      <c r="A2177" s="1"/>
      <c r="B2177" s="1" t="s">
        <v>2322</v>
      </c>
      <c r="C2177" s="1" t="n">
        <v>1</v>
      </c>
      <c r="E2177" s="11" t="s">
        <v>2323</v>
      </c>
      <c r="F2177" s="11" t="str">
        <f aca="false">IFERROR(__xludf.dummyfunction("GOOGLETRANSLATE(B2177,""en"",""ar"")"),"تزوج")</f>
        <v>تزوج</v>
      </c>
      <c r="G2177" s="3" t="n">
        <v>0</v>
      </c>
      <c r="H2177" s="3" t="n">
        <v>0</v>
      </c>
    </row>
    <row r="2178" customFormat="false" ht="14.25" hidden="false" customHeight="true" outlineLevel="0" collapsed="false">
      <c r="A2178" s="1"/>
      <c r="B2178" s="1" t="s">
        <v>2324</v>
      </c>
      <c r="C2178" s="1" t="n">
        <v>1</v>
      </c>
      <c r="E2178" s="11" t="s">
        <v>119</v>
      </c>
      <c r="F2178" s="11" t="str">
        <f aca="false">IFERROR(__xludf.dummyfunction("GOOGLETRANSLATE(B2178,""en"",""ar"")"),"زميل")</f>
        <v>زميل</v>
      </c>
      <c r="G2178" s="3" t="n">
        <v>0</v>
      </c>
      <c r="H2178" s="3" t="n">
        <v>0</v>
      </c>
    </row>
    <row r="2179" customFormat="false" ht="14.25" hidden="false" customHeight="true" outlineLevel="0" collapsed="false">
      <c r="A2179" s="1"/>
      <c r="B2179" s="1" t="s">
        <v>2325</v>
      </c>
      <c r="C2179" s="1" t="n">
        <v>1</v>
      </c>
      <c r="E2179" s="11" t="s">
        <v>79</v>
      </c>
      <c r="F2179" s="11" t="str">
        <f aca="false">IFERROR(__xludf.dummyfunction("GOOGLETRANSLATE(B2179,""en"",""ar"")"),"منتصف الليل")</f>
        <v>منتصف الليل</v>
      </c>
      <c r="G2179" s="3" t="n">
        <v>0</v>
      </c>
      <c r="H2179" s="3" t="n">
        <v>0</v>
      </c>
    </row>
    <row r="2180" customFormat="false" ht="14.25" hidden="false" customHeight="true" outlineLevel="0" collapsed="false">
      <c r="A2180" s="1"/>
      <c r="B2180" s="1" t="s">
        <v>2326</v>
      </c>
      <c r="C2180" s="1" t="n">
        <v>1</v>
      </c>
      <c r="E2180" s="11" t="s">
        <v>83</v>
      </c>
      <c r="F2180" s="11" t="str">
        <f aca="false">IFERROR(__xludf.dummyfunction("GOOGLETRANSLATE(B2180,""en"",""ar"")"),"محرك")</f>
        <v>محرك</v>
      </c>
      <c r="G2180" s="3" t="n">
        <v>0</v>
      </c>
      <c r="H2180" s="3" t="n">
        <v>0</v>
      </c>
    </row>
    <row r="2181" customFormat="false" ht="14.25" hidden="false" customHeight="true" outlineLevel="0" collapsed="false">
      <c r="A2181" s="1"/>
      <c r="B2181" s="1" t="s">
        <v>2327</v>
      </c>
      <c r="C2181" s="1" t="n">
        <v>1</v>
      </c>
      <c r="E2181" s="11" t="s">
        <v>235</v>
      </c>
      <c r="F2181" s="11" t="str">
        <f aca="false">IFERROR(__xludf.dummyfunction("GOOGLETRANSLATE(B2181,""en"",""ar"")"),"مرتب")</f>
        <v>مرتب</v>
      </c>
      <c r="G2181" s="3" t="n">
        <v>0</v>
      </c>
      <c r="H2181" s="3" t="n">
        <v>0</v>
      </c>
    </row>
    <row r="2182" customFormat="false" ht="14.25" hidden="false" customHeight="true" outlineLevel="0" collapsed="false">
      <c r="A2182" s="1"/>
      <c r="B2182" s="1" t="s">
        <v>2328</v>
      </c>
      <c r="C2182" s="1" t="n">
        <v>1</v>
      </c>
      <c r="E2182" s="11" t="s">
        <v>79</v>
      </c>
      <c r="F2182" s="11" t="str">
        <f aca="false">IFERROR(__xludf.dummyfunction("GOOGLETRANSLATE(B2182,""en"",""ar"")"),"تفاوض")</f>
        <v>تفاوض</v>
      </c>
      <c r="G2182" s="3" t="n">
        <v>0</v>
      </c>
      <c r="H2182" s="3" t="n">
        <v>0</v>
      </c>
    </row>
    <row r="2183" customFormat="false" ht="14.25" hidden="false" customHeight="true" outlineLevel="0" collapsed="false">
      <c r="A2183" s="1"/>
      <c r="B2183" s="1" t="s">
        <v>2329</v>
      </c>
      <c r="C2183" s="1" t="n">
        <v>1</v>
      </c>
      <c r="E2183" s="11" t="s">
        <v>119</v>
      </c>
      <c r="F2183" s="11" t="str">
        <f aca="false">IFERROR(__xludf.dummyfunction("GOOGLETRANSLATE(B2183,""en"",""ar"")"),"عصب")</f>
        <v>عصب</v>
      </c>
      <c r="G2183" s="3" t="n">
        <v>0</v>
      </c>
      <c r="H2183" s="3" t="n">
        <v>0</v>
      </c>
    </row>
    <row r="2184" customFormat="false" ht="14.25" hidden="false" customHeight="true" outlineLevel="0" collapsed="false">
      <c r="A2184" s="1"/>
      <c r="B2184" s="1" t="s">
        <v>2330</v>
      </c>
      <c r="C2184" s="1" t="n">
        <v>1</v>
      </c>
      <c r="E2184" s="11" t="s">
        <v>112</v>
      </c>
      <c r="F2184" s="11" t="str">
        <f aca="false">IFERROR(__xludf.dummyfunction("GOOGLETRANSLATE(B2184,""en"",""ar"")"),"متوتر")</f>
        <v>متوتر</v>
      </c>
      <c r="G2184" s="3" t="n">
        <v>0</v>
      </c>
      <c r="H2184" s="3" t="n">
        <v>0</v>
      </c>
    </row>
    <row r="2185" customFormat="false" ht="14.25" hidden="false" customHeight="true" outlineLevel="0" collapsed="false">
      <c r="A2185" s="1"/>
      <c r="B2185" s="1" t="s">
        <v>2331</v>
      </c>
      <c r="C2185" s="1" t="n">
        <v>1</v>
      </c>
      <c r="E2185" s="11" t="s">
        <v>2332</v>
      </c>
      <c r="F2185" s="11" t="str">
        <f aca="false">IFERROR(__xludf.dummyfunction("GOOGLETRANSLATE(B2185,""en"",""ar"")"),"لا مكان")</f>
        <v>لا مكان</v>
      </c>
      <c r="G2185" s="3" t="n">
        <v>0</v>
      </c>
      <c r="H2185" s="3" t="n">
        <v>0</v>
      </c>
    </row>
    <row r="2186" customFormat="false" ht="14.25" hidden="false" customHeight="true" outlineLevel="0" collapsed="false">
      <c r="A2186" s="1"/>
      <c r="B2186" s="1" t="s">
        <v>2333</v>
      </c>
      <c r="C2186" s="1" t="n">
        <v>1</v>
      </c>
      <c r="E2186" s="11" t="s">
        <v>79</v>
      </c>
      <c r="F2186" s="11" t="str">
        <f aca="false">IFERROR(__xludf.dummyfunction("GOOGLETRANSLATE(B2186,""en"",""ar"")"),"فرض")</f>
        <v>فرض</v>
      </c>
      <c r="G2186" s="3" t="n">
        <v>0</v>
      </c>
      <c r="H2186" s="3" t="n">
        <v>0</v>
      </c>
    </row>
    <row r="2187" customFormat="false" ht="14.25" hidden="false" customHeight="true" outlineLevel="0" collapsed="false">
      <c r="A2187" s="1"/>
      <c r="B2187" s="1" t="s">
        <v>2334</v>
      </c>
      <c r="C2187" s="1" t="n">
        <v>1</v>
      </c>
      <c r="E2187" s="11" t="s">
        <v>112</v>
      </c>
      <c r="F2187" s="11" t="str">
        <f aca="false">IFERROR(__xludf.dummyfunction("GOOGLETRANSLATE(B2187,""en"",""ar"")"),"الفردية")</f>
        <v>الفردية</v>
      </c>
      <c r="G2187" s="3" t="n">
        <v>0</v>
      </c>
      <c r="H2187" s="3" t="n">
        <v>0</v>
      </c>
    </row>
    <row r="2188" customFormat="false" ht="14.25" hidden="false" customHeight="true" outlineLevel="0" collapsed="false">
      <c r="A2188" s="1"/>
      <c r="B2188" s="1" t="s">
        <v>2335</v>
      </c>
      <c r="C2188" s="1" t="n">
        <v>1</v>
      </c>
      <c r="E2188" s="11" t="s">
        <v>205</v>
      </c>
      <c r="F2188" s="11" t="str">
        <f aca="false">IFERROR(__xludf.dummyfunction("GOOGLETRANSLATE(B2188,""en"",""ar"")"),"نعم")</f>
        <v>نعم</v>
      </c>
      <c r="G2188" s="3" t="n">
        <v>0</v>
      </c>
      <c r="H2188" s="3" t="n">
        <v>0</v>
      </c>
    </row>
    <row r="2189" customFormat="false" ht="14.25" hidden="false" customHeight="true" outlineLevel="0" collapsed="false">
      <c r="A2189" s="1"/>
      <c r="B2189" s="1" t="s">
        <v>2336</v>
      </c>
      <c r="C2189" s="1" t="n">
        <v>1</v>
      </c>
      <c r="E2189" s="11" t="s">
        <v>119</v>
      </c>
      <c r="F2189" s="11" t="str">
        <f aca="false">IFERROR(__xludf.dummyfunction("GOOGLETRANSLATE(B2189,""en"",""ar"")"),"العبور")</f>
        <v>العبور</v>
      </c>
      <c r="G2189" s="3" t="n">
        <v>0</v>
      </c>
      <c r="H2189" s="3" t="n">
        <v>0</v>
      </c>
    </row>
    <row r="2190" customFormat="false" ht="14.25" hidden="false" customHeight="true" outlineLevel="0" collapsed="false">
      <c r="A2190" s="1"/>
      <c r="B2190" s="1" t="s">
        <v>2337</v>
      </c>
      <c r="C2190" s="1" t="n">
        <v>1</v>
      </c>
      <c r="E2190" s="11" t="s">
        <v>79</v>
      </c>
      <c r="F2190" s="11" t="str">
        <f aca="false">IFERROR(__xludf.dummyfunction("GOOGLETRANSLATE(B2190,""en"",""ar"")"),"راكب")</f>
        <v>راكب</v>
      </c>
      <c r="G2190" s="3" t="n">
        <v>0</v>
      </c>
      <c r="H2190" s="3" t="n">
        <v>0</v>
      </c>
    </row>
    <row r="2191" customFormat="false" ht="14.25" hidden="false" customHeight="true" outlineLevel="0" collapsed="false">
      <c r="A2191" s="1"/>
      <c r="B2191" s="1" t="s">
        <v>2338</v>
      </c>
      <c r="C2191" s="1" t="n">
        <v>1</v>
      </c>
      <c r="E2191" s="11" t="s">
        <v>119</v>
      </c>
      <c r="F2191" s="11" t="str">
        <f aca="false">IFERROR(__xludf.dummyfunction("GOOGLETRANSLATE(B2191,""en"",""ar"")"),"قلم جاف")</f>
        <v>قلم جاف</v>
      </c>
      <c r="G2191" s="3" t="n">
        <v>0</v>
      </c>
      <c r="H2191" s="3" t="n">
        <v>0</v>
      </c>
    </row>
    <row r="2192" customFormat="false" ht="14.25" hidden="false" customHeight="true" outlineLevel="0" collapsed="false">
      <c r="A2192" s="1"/>
      <c r="B2192" s="1" t="s">
        <v>2339</v>
      </c>
      <c r="C2192" s="1" t="n">
        <v>1</v>
      </c>
      <c r="E2192" s="11" t="s">
        <v>12</v>
      </c>
      <c r="F2192" s="11" t="str">
        <f aca="false">IFERROR(__xludf.dummyfunction("GOOGLETRANSLATE(B2192,""en"",""ar"")"),"اقناع")</f>
        <v>اقناع</v>
      </c>
      <c r="G2192" s="3" t="n">
        <v>0</v>
      </c>
      <c r="H2192" s="3" t="n">
        <v>0</v>
      </c>
    </row>
    <row r="2193" customFormat="false" ht="14.25" hidden="false" customHeight="true" outlineLevel="0" collapsed="false">
      <c r="A2193" s="1"/>
      <c r="B2193" s="1" t="s">
        <v>2340</v>
      </c>
      <c r="C2193" s="1" t="n">
        <v>1</v>
      </c>
      <c r="E2193" s="11" t="s">
        <v>79</v>
      </c>
      <c r="F2193" s="11" t="str">
        <f aca="false">IFERROR(__xludf.dummyfunction("GOOGLETRANSLATE(B2193,""en"",""ar"")"),"بيتزا")</f>
        <v>بيتزا</v>
      </c>
      <c r="G2193" s="3" t="n">
        <v>0</v>
      </c>
      <c r="H2193" s="3" t="n">
        <v>0</v>
      </c>
    </row>
    <row r="2194" customFormat="false" ht="14.25" hidden="false" customHeight="true" outlineLevel="0" collapsed="false">
      <c r="A2194" s="1"/>
      <c r="B2194" s="1" t="s">
        <v>2341</v>
      </c>
      <c r="C2194" s="1" t="n">
        <v>1</v>
      </c>
      <c r="E2194" s="11" t="s">
        <v>79</v>
      </c>
      <c r="F2194" s="11" t="str">
        <f aca="false">IFERROR(__xludf.dummyfunction("GOOGLETRANSLATE(B2194,""en"",""ar"")"),"برنامج")</f>
        <v>برنامج</v>
      </c>
      <c r="G2194" s="3" t="n">
        <v>0</v>
      </c>
      <c r="H2194" s="3" t="n">
        <v>0</v>
      </c>
    </row>
    <row r="2195" customFormat="false" ht="14.25" hidden="false" customHeight="true" outlineLevel="0" collapsed="false">
      <c r="A2195" s="1"/>
      <c r="B2195" s="1" t="s">
        <v>2342</v>
      </c>
      <c r="C2195" s="1" t="n">
        <v>1</v>
      </c>
      <c r="E2195" s="11" t="s">
        <v>79</v>
      </c>
      <c r="F2195" s="11" t="str">
        <f aca="false">IFERROR(__xludf.dummyfunction("GOOGLETRANSLATE(B2195,""en"",""ar"")"),"شاعر")</f>
        <v>شاعر</v>
      </c>
      <c r="G2195" s="3" t="n">
        <v>0</v>
      </c>
      <c r="H2195" s="3" t="n">
        <v>0</v>
      </c>
    </row>
    <row r="2196" customFormat="false" ht="14.25" hidden="false" customHeight="true" outlineLevel="0" collapsed="false">
      <c r="A2196" s="1"/>
      <c r="B2196" s="1" t="s">
        <v>2343</v>
      </c>
      <c r="C2196" s="1" t="n">
        <v>1</v>
      </c>
      <c r="E2196" s="11" t="s">
        <v>79</v>
      </c>
      <c r="F2196" s="11" t="str">
        <f aca="false">IFERROR(__xludf.dummyfunction("GOOGLETRANSLATE(B2196,""en"",""ar"")"),"التلوث")</f>
        <v>التلوث</v>
      </c>
      <c r="G2196" s="3" t="n">
        <v>0</v>
      </c>
      <c r="H2196" s="3" t="n">
        <v>0</v>
      </c>
    </row>
    <row r="2197" customFormat="false" ht="14.25" hidden="false" customHeight="true" outlineLevel="0" collapsed="false">
      <c r="A2197" s="1"/>
      <c r="B2197" s="1" t="s">
        <v>2344</v>
      </c>
      <c r="C2197" s="1" t="n">
        <v>1</v>
      </c>
      <c r="E2197" s="11" t="s">
        <v>2345</v>
      </c>
      <c r="F2197" s="11" t="str">
        <f aca="false">IFERROR(__xludf.dummyfunction("GOOGLETRANSLATE(B2197,""en"",""ar"")"),"البوب")</f>
        <v>البوب</v>
      </c>
      <c r="G2197" s="3" t="n">
        <v>0</v>
      </c>
      <c r="H2197" s="3" t="n">
        <v>0</v>
      </c>
    </row>
    <row r="2198" customFormat="false" ht="14.25" hidden="false" customHeight="true" outlineLevel="0" collapsed="false">
      <c r="A2198" s="1"/>
      <c r="B2198" s="1" t="s">
        <v>2346</v>
      </c>
      <c r="C2198" s="1" t="n">
        <v>1</v>
      </c>
      <c r="E2198" s="11" t="s">
        <v>12</v>
      </c>
      <c r="F2198" s="11" t="str">
        <f aca="false">IFERROR(__xludf.dummyfunction("GOOGLETRANSLATE(B2198,""en"",""ar"")"),"يصب")</f>
        <v>يصب</v>
      </c>
      <c r="G2198" s="3" t="n">
        <v>0</v>
      </c>
      <c r="H2198" s="3" t="n">
        <v>0</v>
      </c>
    </row>
    <row r="2199" customFormat="false" ht="14.25" hidden="false" customHeight="true" outlineLevel="0" collapsed="false">
      <c r="A2199" s="1"/>
      <c r="B2199" s="1" t="s">
        <v>2347</v>
      </c>
      <c r="C2199" s="1" t="n">
        <v>1</v>
      </c>
      <c r="E2199" s="11" t="s">
        <v>2348</v>
      </c>
      <c r="F2199" s="11" t="str">
        <f aca="false">IFERROR(__xludf.dummyfunction("GOOGLETRANSLATE(B2199,""en"",""ar"")"),"صلى")</f>
        <v>صلى</v>
      </c>
      <c r="G2199" s="3" t="n">
        <v>0</v>
      </c>
      <c r="H2199" s="3" t="n">
        <v>0</v>
      </c>
    </row>
    <row r="2200" customFormat="false" ht="14.25" hidden="false" customHeight="true" outlineLevel="0" collapsed="false">
      <c r="A2200" s="1"/>
      <c r="B2200" s="1" t="s">
        <v>2349</v>
      </c>
      <c r="C2200" s="1" t="n">
        <v>1</v>
      </c>
      <c r="E2200" s="11" t="s">
        <v>644</v>
      </c>
      <c r="F2200" s="11" t="str">
        <f aca="false">IFERROR(__xludf.dummyfunction("GOOGLETRANSLATE(B2200,""en"",""ar"")"),"يدعي")</f>
        <v>يدعي</v>
      </c>
      <c r="G2200" s="3" t="n">
        <v>0</v>
      </c>
      <c r="H2200" s="3" t="n">
        <v>0</v>
      </c>
    </row>
    <row r="2201" customFormat="false" ht="14.25" hidden="false" customHeight="true" outlineLevel="0" collapsed="false">
      <c r="A2201" s="1"/>
      <c r="B2201" s="1" t="s">
        <v>2350</v>
      </c>
      <c r="C2201" s="1" t="n">
        <v>1</v>
      </c>
      <c r="E2201" s="11" t="s">
        <v>42</v>
      </c>
      <c r="F2201" s="11" t="str">
        <f aca="false">IFERROR(__xludf.dummyfunction("GOOGLETRANSLATE(B2201,""en"",""ar"")"),"سابقا")</f>
        <v>سابقا</v>
      </c>
      <c r="G2201" s="3" t="n">
        <v>0</v>
      </c>
      <c r="H2201" s="3" t="n">
        <v>0</v>
      </c>
    </row>
    <row r="2202" customFormat="false" ht="14.25" hidden="false" customHeight="true" outlineLevel="0" collapsed="false">
      <c r="A2202" s="1"/>
      <c r="B2202" s="1" t="s">
        <v>2351</v>
      </c>
      <c r="C2202" s="1" t="n">
        <v>1</v>
      </c>
      <c r="E2202" s="11" t="s">
        <v>119</v>
      </c>
      <c r="F2202" s="11" t="str">
        <f aca="false">IFERROR(__xludf.dummyfunction("GOOGLETRANSLATE(B2202,""en"",""ar"")"),"الاعتزاز")</f>
        <v>الاعتزاز</v>
      </c>
      <c r="G2202" s="3" t="n">
        <v>0</v>
      </c>
      <c r="H2202" s="3" t="n">
        <v>0</v>
      </c>
    </row>
    <row r="2203" customFormat="false" ht="14.25" hidden="false" customHeight="true" outlineLevel="0" collapsed="false">
      <c r="A2203" s="1"/>
      <c r="B2203" s="1" t="s">
        <v>2352</v>
      </c>
      <c r="C2203" s="1" t="n">
        <v>1</v>
      </c>
      <c r="E2203" s="11" t="s">
        <v>119</v>
      </c>
      <c r="F2203" s="11" t="str">
        <f aca="false">IFERROR(__xludf.dummyfunction("GOOGLETRANSLATE(B2203,""en"",""ar"")"),"كاهن")</f>
        <v>كاهن</v>
      </c>
      <c r="G2203" s="3" t="n">
        <v>0</v>
      </c>
      <c r="H2203" s="3" t="n">
        <v>0</v>
      </c>
    </row>
    <row r="2204" customFormat="false" ht="14.25" hidden="false" customHeight="true" outlineLevel="0" collapsed="false">
      <c r="A2204" s="1"/>
      <c r="B2204" s="1" t="s">
        <v>2353</v>
      </c>
      <c r="C2204" s="1" t="n">
        <v>1</v>
      </c>
      <c r="E2204" s="11" t="s">
        <v>83</v>
      </c>
      <c r="F2204" s="11" t="str">
        <f aca="false">IFERROR(__xludf.dummyfunction("GOOGLETRANSLATE(B2204,""en"",""ar"")"),"جائزة")</f>
        <v>جائزة</v>
      </c>
      <c r="G2204" s="3" t="n">
        <v>0</v>
      </c>
      <c r="H2204" s="3" t="n">
        <v>0</v>
      </c>
    </row>
    <row r="2205" customFormat="false" ht="14.25" hidden="false" customHeight="true" outlineLevel="0" collapsed="false">
      <c r="A2205" s="1"/>
      <c r="B2205" s="1" t="s">
        <v>2354</v>
      </c>
      <c r="C2205" s="1" t="n">
        <v>1</v>
      </c>
      <c r="E2205" s="11" t="s">
        <v>119</v>
      </c>
      <c r="F2205" s="11" t="str">
        <f aca="false">IFERROR(__xludf.dummyfunction("GOOGLETRANSLATE(B2205,""en"",""ar"")"),"يعد")</f>
        <v>يعد</v>
      </c>
      <c r="G2205" s="3" t="n">
        <v>0</v>
      </c>
      <c r="H2205" s="3" t="n">
        <v>0</v>
      </c>
    </row>
    <row r="2206" customFormat="false" ht="14.25" hidden="false" customHeight="true" outlineLevel="0" collapsed="false">
      <c r="A2206" s="1"/>
      <c r="B2206" s="1" t="s">
        <v>2355</v>
      </c>
      <c r="C2206" s="1" t="n">
        <v>1</v>
      </c>
      <c r="E2206" s="11" t="s">
        <v>12</v>
      </c>
      <c r="F2206" s="11" t="str">
        <f aca="false">IFERROR(__xludf.dummyfunction("GOOGLETRANSLATE(B2206,""en"",""ar"")"),"اقترح")</f>
        <v>اقترح</v>
      </c>
      <c r="G2206" s="3" t="n">
        <v>0</v>
      </c>
      <c r="H2206" s="3" t="n">
        <v>0</v>
      </c>
    </row>
    <row r="2207" customFormat="false" ht="14.25" hidden="false" customHeight="true" outlineLevel="0" collapsed="false">
      <c r="A2207" s="1"/>
      <c r="B2207" s="1" t="s">
        <v>2356</v>
      </c>
      <c r="C2207" s="1" t="n">
        <v>1</v>
      </c>
      <c r="E2207" s="11" t="s">
        <v>94</v>
      </c>
      <c r="F2207" s="11" t="str">
        <f aca="false">IFERROR(__xludf.dummyfunction("GOOGLETRANSLATE(B2207,""en"",""ar"")"),"لكمة")</f>
        <v>لكمة</v>
      </c>
      <c r="G2207" s="3" t="n">
        <v>0</v>
      </c>
      <c r="H2207" s="3" t="n">
        <v>0</v>
      </c>
    </row>
    <row r="2208" customFormat="false" ht="14.25" hidden="false" customHeight="true" outlineLevel="0" collapsed="false">
      <c r="A2208" s="1"/>
      <c r="B2208" s="1" t="s">
        <v>2357</v>
      </c>
      <c r="C2208" s="1" t="n">
        <v>1</v>
      </c>
      <c r="E2208" s="11" t="s">
        <v>94</v>
      </c>
      <c r="F2208" s="11" t="str">
        <f aca="false">IFERROR(__xludf.dummyfunction("GOOGLETRANSLATE(B2208,""en"",""ar"")"),"استقال")</f>
        <v>استقال</v>
      </c>
      <c r="G2208" s="3" t="n">
        <v>0</v>
      </c>
      <c r="H2208" s="3" t="n">
        <v>0</v>
      </c>
    </row>
    <row r="2209" customFormat="false" ht="14.25" hidden="false" customHeight="true" outlineLevel="0" collapsed="false">
      <c r="A2209" s="1"/>
      <c r="B2209" s="1" t="s">
        <v>2358</v>
      </c>
      <c r="C2209" s="1" t="n">
        <v>1</v>
      </c>
      <c r="E2209" s="11" t="s">
        <v>79</v>
      </c>
      <c r="F2209" s="11" t="str">
        <f aca="false">IFERROR(__xludf.dummyfunction("GOOGLETRANSLATE(B2209,""en"",""ar"")"),"التعرف على")</f>
        <v>التعرف على</v>
      </c>
      <c r="G2209" s="3" t="n">
        <v>0</v>
      </c>
      <c r="H2209" s="3" t="n">
        <v>0</v>
      </c>
    </row>
    <row r="2210" customFormat="false" ht="14.25" hidden="false" customHeight="true" outlineLevel="0" collapsed="false">
      <c r="A2210" s="1"/>
      <c r="B2210" s="1" t="s">
        <v>2359</v>
      </c>
      <c r="C2210" s="1" t="n">
        <v>1</v>
      </c>
      <c r="E2210" s="11" t="s">
        <v>112</v>
      </c>
      <c r="F2210" s="11" t="str">
        <f aca="false">IFERROR(__xludf.dummyfunction("GOOGLETRANSLATE(B2210,""en"",""ar"")"),"لافت للنظر")</f>
        <v>لافت للنظر</v>
      </c>
      <c r="G2210" s="3" t="n">
        <v>0</v>
      </c>
      <c r="H2210" s="3" t="n">
        <v>0</v>
      </c>
    </row>
    <row r="2211" customFormat="false" ht="14.25" hidden="false" customHeight="true" outlineLevel="0" collapsed="false">
      <c r="A2211" s="1"/>
      <c r="B2211" s="1" t="s">
        <v>2360</v>
      </c>
      <c r="C2211" s="1" t="n">
        <v>1</v>
      </c>
      <c r="E2211" s="11" t="s">
        <v>12</v>
      </c>
      <c r="F2211" s="11" t="str">
        <f aca="false">IFERROR(__xludf.dummyfunction("GOOGLETRANSLATE(B2211,""en"",""ar"")"),"تذكير")</f>
        <v>تذكير</v>
      </c>
      <c r="G2211" s="3" t="n">
        <v>0</v>
      </c>
      <c r="H2211" s="3" t="n">
        <v>0</v>
      </c>
    </row>
    <row r="2212" customFormat="false" ht="14.25" hidden="false" customHeight="true" outlineLevel="0" collapsed="false">
      <c r="A2212" s="1"/>
      <c r="B2212" s="1" t="s">
        <v>2361</v>
      </c>
      <c r="C2212" s="1" t="n">
        <v>1</v>
      </c>
      <c r="E2212" s="11" t="s">
        <v>94</v>
      </c>
      <c r="F2212" s="11" t="str">
        <f aca="false">IFERROR(__xludf.dummyfunction("GOOGLETRANSLATE(B2212,""en"",""ar"")"),"الرد")</f>
        <v>الرد</v>
      </c>
      <c r="G2212" s="3" t="n">
        <v>0</v>
      </c>
      <c r="H2212" s="3" t="n">
        <v>0</v>
      </c>
    </row>
    <row r="2213" customFormat="false" ht="14.25" hidden="false" customHeight="true" outlineLevel="0" collapsed="false">
      <c r="A2213" s="1"/>
      <c r="B2213" s="1" t="s">
        <v>2362</v>
      </c>
      <c r="C2213" s="1" t="n">
        <v>1</v>
      </c>
      <c r="E2213" s="11" t="s">
        <v>235</v>
      </c>
      <c r="F2213" s="11" t="str">
        <f aca="false">IFERROR(__xludf.dummyfunction("GOOGLETRANSLATE(B2213,""en"",""ar"")"),"وكيل")</f>
        <v>وكيل</v>
      </c>
      <c r="G2213" s="3" t="n">
        <v>0</v>
      </c>
      <c r="H2213" s="3" t="n">
        <v>0</v>
      </c>
    </row>
    <row r="2214" customFormat="false" ht="14.25" hidden="false" customHeight="true" outlineLevel="0" collapsed="false">
      <c r="A2214" s="1"/>
      <c r="B2214" s="1" t="s">
        <v>2363</v>
      </c>
      <c r="C2214" s="1" t="n">
        <v>1</v>
      </c>
      <c r="E2214" s="11" t="s">
        <v>79</v>
      </c>
      <c r="F2214" s="11" t="str">
        <f aca="false">IFERROR(__xludf.dummyfunction("GOOGLETRANSLATE(B2214,""en"",""ar"")"),"سمعة")</f>
        <v>سمعة</v>
      </c>
      <c r="G2214" s="3" t="n">
        <v>0</v>
      </c>
      <c r="H2214" s="3" t="n">
        <v>0</v>
      </c>
    </row>
    <row r="2215" customFormat="false" ht="14.25" hidden="false" customHeight="true" outlineLevel="0" collapsed="false">
      <c r="A2215" s="1"/>
      <c r="B2215" s="1" t="s">
        <v>2364</v>
      </c>
      <c r="C2215" s="1" t="n">
        <v>1</v>
      </c>
      <c r="E2215" s="11" t="s">
        <v>148</v>
      </c>
      <c r="F2215" s="11" t="str">
        <f aca="false">IFERROR(__xludf.dummyfunction("GOOGLETRANSLATE(B2215,""en"",""ar"")"),"مقيم")</f>
        <v>مقيم</v>
      </c>
      <c r="G2215" s="3" t="n">
        <v>0</v>
      </c>
      <c r="H2215" s="3" t="n">
        <v>0</v>
      </c>
    </row>
    <row r="2216" customFormat="false" ht="14.25" hidden="false" customHeight="true" outlineLevel="0" collapsed="false">
      <c r="A2216" s="1"/>
      <c r="B2216" s="1" t="s">
        <v>2365</v>
      </c>
      <c r="C2216" s="1" t="n">
        <v>1</v>
      </c>
      <c r="E2216" s="11" t="s">
        <v>94</v>
      </c>
      <c r="F2216" s="11" t="str">
        <f aca="false">IFERROR(__xludf.dummyfunction("GOOGLETRANSLATE(B2216,""en"",""ar"")"),"يقاوم")</f>
        <v>يقاوم</v>
      </c>
      <c r="G2216" s="3" t="n">
        <v>0</v>
      </c>
      <c r="H2216" s="3" t="n">
        <v>0</v>
      </c>
    </row>
    <row r="2217" customFormat="false" ht="14.25" hidden="false" customHeight="true" outlineLevel="0" collapsed="false">
      <c r="A2217" s="1"/>
      <c r="B2217" s="1" t="s">
        <v>2366</v>
      </c>
      <c r="C2217" s="1" t="n">
        <v>1</v>
      </c>
      <c r="E2217" s="11" t="s">
        <v>119</v>
      </c>
      <c r="F2217" s="11" t="str">
        <f aca="false">IFERROR(__xludf.dummyfunction("GOOGLETRANSLATE(B2217,""en"",""ar"")"),"ملجأ")</f>
        <v>ملجأ</v>
      </c>
      <c r="G2217" s="3" t="n">
        <v>0</v>
      </c>
      <c r="H2217" s="3" t="n">
        <v>0</v>
      </c>
    </row>
    <row r="2218" customFormat="false" ht="14.25" hidden="false" customHeight="true" outlineLevel="0" collapsed="false">
      <c r="A2218" s="1"/>
      <c r="B2218" s="1" t="s">
        <v>2367</v>
      </c>
      <c r="C2218" s="1" t="n">
        <v>1</v>
      </c>
      <c r="E2218" s="11" t="s">
        <v>119</v>
      </c>
      <c r="F2218" s="11" t="str">
        <f aca="false">IFERROR(__xludf.dummyfunction("GOOGLETRANSLATE(B2218,""en"",""ar"")"),"حلقة")</f>
        <v>حلقة</v>
      </c>
      <c r="G2218" s="3" t="n">
        <v>0</v>
      </c>
      <c r="H2218" s="3" t="n">
        <v>0</v>
      </c>
    </row>
    <row r="2219" customFormat="false" ht="14.25" hidden="false" customHeight="true" outlineLevel="0" collapsed="false">
      <c r="A2219" s="1"/>
      <c r="B2219" s="1" t="s">
        <v>2368</v>
      </c>
      <c r="C2219" s="1" t="n">
        <v>1</v>
      </c>
      <c r="E2219" s="11" t="s">
        <v>94</v>
      </c>
      <c r="F2219" s="11" t="str">
        <f aca="false">IFERROR(__xludf.dummyfunction("GOOGLETRANSLATE(B2219,""en"",""ar"")"),"إرقد بسلام")</f>
        <v>إرقد بسلام</v>
      </c>
      <c r="G2219" s="3" t="n">
        <v>0</v>
      </c>
      <c r="H2219" s="3" t="n">
        <v>0</v>
      </c>
    </row>
    <row r="2220" customFormat="false" ht="14.25" hidden="false" customHeight="true" outlineLevel="0" collapsed="false">
      <c r="A2220" s="1"/>
      <c r="B2220" s="1" t="s">
        <v>2369</v>
      </c>
      <c r="C2220" s="1" t="n">
        <v>1</v>
      </c>
      <c r="E2220" s="11" t="s">
        <v>119</v>
      </c>
      <c r="F2220" s="11" t="str">
        <f aca="false">IFERROR(__xludf.dummyfunction("GOOGLETRANSLATE(B2220,""en"",""ar"")"),"سقف")</f>
        <v>سقف</v>
      </c>
      <c r="G2220" s="3" t="n">
        <v>0</v>
      </c>
      <c r="H2220" s="3" t="n">
        <v>0</v>
      </c>
    </row>
    <row r="2221" customFormat="false" ht="14.25" hidden="false" customHeight="true" outlineLevel="0" collapsed="false">
      <c r="A2221" s="1"/>
      <c r="B2221" s="1" t="s">
        <v>2370</v>
      </c>
      <c r="C2221" s="1" t="n">
        <v>1</v>
      </c>
      <c r="E2221" s="11" t="s">
        <v>119</v>
      </c>
      <c r="F2221" s="11" t="str">
        <f aca="false">IFERROR(__xludf.dummyfunction("GOOGLETRANSLATE(B2221,""en"",""ar"")"),"حبل")</f>
        <v>حبل</v>
      </c>
      <c r="G2221" s="3" t="n">
        <v>0</v>
      </c>
      <c r="H2221" s="3" t="n">
        <v>0</v>
      </c>
    </row>
    <row r="2222" customFormat="false" ht="14.25" hidden="false" customHeight="true" outlineLevel="0" collapsed="false">
      <c r="A2222" s="1"/>
      <c r="B2222" s="1" t="s">
        <v>2371</v>
      </c>
      <c r="C2222" s="1" t="n">
        <v>1</v>
      </c>
      <c r="E2222" s="11" t="s">
        <v>94</v>
      </c>
      <c r="F2222" s="11" t="str">
        <f aca="false">IFERROR(__xludf.dummyfunction("GOOGLETRANSLATE(B2222,""en"",""ar"")"),"فرك")</f>
        <v>فرك</v>
      </c>
      <c r="G2222" s="3" t="n">
        <v>0</v>
      </c>
      <c r="H2222" s="3" t="n">
        <v>0</v>
      </c>
    </row>
    <row r="2223" customFormat="false" ht="14.25" hidden="false" customHeight="true" outlineLevel="0" collapsed="false">
      <c r="A2223" s="1"/>
      <c r="B2223" s="1" t="s">
        <v>2372</v>
      </c>
      <c r="C2223" s="1" t="n">
        <v>1</v>
      </c>
      <c r="E2223" s="11" t="s">
        <v>119</v>
      </c>
      <c r="F2223" s="11" t="str">
        <f aca="false">IFERROR(__xludf.dummyfunction("GOOGLETRANSLATE(B2223,""en"",""ar"")"),"ريشة")</f>
        <v>ريشة</v>
      </c>
      <c r="G2223" s="3" t="n">
        <v>0</v>
      </c>
      <c r="H2223" s="3" t="n">
        <v>0</v>
      </c>
    </row>
    <row r="2224" customFormat="false" ht="14.25" hidden="false" customHeight="true" outlineLevel="0" collapsed="false">
      <c r="A2224" s="1"/>
      <c r="B2224" s="1" t="s">
        <v>2373</v>
      </c>
      <c r="C2224" s="1" t="n">
        <v>1</v>
      </c>
      <c r="E2224" s="11" t="s">
        <v>119</v>
      </c>
      <c r="F2224" s="11" t="str">
        <f aca="false">IFERROR(__xludf.dummyfunction("GOOGLETRANSLATE(B2224,""en"",""ar"")"),"مخطط")</f>
        <v>مخطط</v>
      </c>
      <c r="G2224" s="3" t="n">
        <v>0</v>
      </c>
      <c r="H2224" s="3" t="n">
        <v>0</v>
      </c>
    </row>
    <row r="2225" customFormat="false" ht="14.25" hidden="false" customHeight="true" outlineLevel="0" collapsed="false">
      <c r="A2225" s="1"/>
      <c r="B2225" s="1" t="s">
        <v>2374</v>
      </c>
      <c r="C2225" s="1" t="n">
        <v>1</v>
      </c>
      <c r="E2225" s="11" t="s">
        <v>119</v>
      </c>
      <c r="F2225" s="11" t="str">
        <f aca="false">IFERROR(__xludf.dummyfunction("GOOGLETRANSLATE(B2225,""en"",""ar"")"),"النصي")</f>
        <v>النصي</v>
      </c>
      <c r="G2225" s="3" t="n">
        <v>0</v>
      </c>
      <c r="H2225" s="3" t="n">
        <v>0</v>
      </c>
    </row>
    <row r="2226" customFormat="false" ht="14.25" hidden="false" customHeight="true" outlineLevel="0" collapsed="false">
      <c r="A2226" s="1"/>
      <c r="B2226" s="1" t="s">
        <v>2375</v>
      </c>
      <c r="C2226" s="1" t="n">
        <v>1</v>
      </c>
      <c r="E2226" s="11" t="s">
        <v>12</v>
      </c>
      <c r="F2226" s="11" t="str">
        <f aca="false">IFERROR(__xludf.dummyfunction("GOOGLETRANSLATE(B2226,""en"",""ar"")"),"يجب")</f>
        <v>يجب</v>
      </c>
      <c r="G2226" s="3" t="n">
        <v>0</v>
      </c>
      <c r="H2226" s="3" t="n">
        <v>0</v>
      </c>
    </row>
    <row r="2227" customFormat="false" ht="14.25" hidden="false" customHeight="true" outlineLevel="0" collapsed="false">
      <c r="A2227" s="1"/>
      <c r="B2227" s="1" t="s">
        <v>2376</v>
      </c>
      <c r="C2227" s="1" t="n">
        <v>1</v>
      </c>
      <c r="E2227" s="11" t="s">
        <v>79</v>
      </c>
      <c r="F2227" s="11" t="str">
        <f aca="false">IFERROR(__xludf.dummyfunction("GOOGLETRANSLATE(B2227,""en"",""ar"")"),"قميص")</f>
        <v>قميص</v>
      </c>
      <c r="G2227" s="3" t="n">
        <v>0</v>
      </c>
      <c r="H2227" s="3" t="n">
        <v>0</v>
      </c>
    </row>
    <row r="2228" customFormat="false" ht="14.25" hidden="false" customHeight="true" outlineLevel="0" collapsed="false">
      <c r="A2228" s="1"/>
      <c r="B2228" s="1" t="s">
        <v>2377</v>
      </c>
      <c r="C2228" s="1" t="n">
        <v>1</v>
      </c>
      <c r="E2228" s="11" t="s">
        <v>235</v>
      </c>
      <c r="F2228" s="11" t="str">
        <f aca="false">IFERROR(__xludf.dummyfunction("GOOGLETRANSLATE(B2228,""en"",""ar"")"),"سخيف")</f>
        <v>سخيف</v>
      </c>
      <c r="G2228" s="3" t="n">
        <v>0</v>
      </c>
      <c r="H2228" s="3" t="n">
        <v>0</v>
      </c>
    </row>
    <row r="2229" customFormat="false" ht="14.25" hidden="false" customHeight="true" outlineLevel="0" collapsed="false">
      <c r="A2229" s="1"/>
      <c r="B2229" s="1" t="s">
        <v>2378</v>
      </c>
      <c r="C2229" s="1" t="n">
        <v>1</v>
      </c>
      <c r="E2229" s="11" t="s">
        <v>79</v>
      </c>
      <c r="F2229" s="11" t="str">
        <f aca="false">IFERROR(__xludf.dummyfunction("GOOGLETRANSLATE(B2229,""en"",""ar"")"),"سيدي المحترم")</f>
        <v>سيدي المحترم</v>
      </c>
      <c r="G2229" s="3" t="n">
        <v>0</v>
      </c>
      <c r="H2229" s="3" t="n">
        <v>0</v>
      </c>
    </row>
    <row r="2230" customFormat="false" ht="14.25" hidden="false" customHeight="true" outlineLevel="0" collapsed="false">
      <c r="A2230" s="1"/>
      <c r="B2230" s="1" t="s">
        <v>2379</v>
      </c>
      <c r="C2230" s="1" t="n">
        <v>1</v>
      </c>
      <c r="E2230" s="11" t="s">
        <v>509</v>
      </c>
      <c r="F2230" s="11" t="str">
        <f aca="false">IFERROR(__xludf.dummyfunction("GOOGLETRANSLATE(B2230,""en"",""ar"")"),"طفيف")</f>
        <v>طفيف</v>
      </c>
      <c r="G2230" s="3" t="n">
        <v>0</v>
      </c>
      <c r="H2230" s="3" t="n">
        <v>0</v>
      </c>
    </row>
    <row r="2231" customFormat="false" ht="14.25" hidden="false" customHeight="true" outlineLevel="0" collapsed="false">
      <c r="A2231" s="1"/>
      <c r="B2231" s="1" t="s">
        <v>2380</v>
      </c>
      <c r="C2231" s="1" t="n">
        <v>1</v>
      </c>
      <c r="E2231" s="11" t="s">
        <v>509</v>
      </c>
      <c r="F2231" s="11" t="str">
        <f aca="false">IFERROR(__xludf.dummyfunction("GOOGLETRANSLATE(B2231,""en"",""ar"")"),"ذكي")</f>
        <v>ذكي</v>
      </c>
      <c r="G2231" s="3" t="n">
        <v>0</v>
      </c>
      <c r="H2231" s="3" t="n">
        <v>0</v>
      </c>
    </row>
    <row r="2232" customFormat="false" ht="14.25" hidden="false" customHeight="true" outlineLevel="0" collapsed="false">
      <c r="A2232" s="1"/>
      <c r="B2232" s="1" t="s">
        <v>2381</v>
      </c>
      <c r="C2232" s="1" t="n">
        <v>1</v>
      </c>
      <c r="E2232" s="11" t="s">
        <v>94</v>
      </c>
      <c r="F2232" s="11" t="str">
        <f aca="false">IFERROR(__xludf.dummyfunction("GOOGLETRANSLATE(B2232,""en"",""ar"")"),"ابتسامة")</f>
        <v>ابتسامة</v>
      </c>
      <c r="G2232" s="3" t="n">
        <v>0</v>
      </c>
      <c r="H2232" s="3" t="n">
        <v>0</v>
      </c>
    </row>
    <row r="2233" customFormat="false" ht="14.25" hidden="false" customHeight="true" outlineLevel="0" collapsed="false">
      <c r="A2233" s="1"/>
      <c r="B2233" s="1" t="s">
        <v>2382</v>
      </c>
      <c r="C2233" s="1" t="n">
        <v>1</v>
      </c>
      <c r="E2233" s="11" t="s">
        <v>119</v>
      </c>
      <c r="F2233" s="11" t="str">
        <f aca="false">IFERROR(__xludf.dummyfunction("GOOGLETRANSLATE(B2233,""en"",""ar"")"),"جورب")</f>
        <v>جورب</v>
      </c>
      <c r="G2233" s="3" t="n">
        <v>0</v>
      </c>
      <c r="H2233" s="3" t="n">
        <v>0</v>
      </c>
    </row>
    <row r="2234" customFormat="false" ht="14.25" hidden="false" customHeight="true" outlineLevel="0" collapsed="false">
      <c r="A2234" s="1"/>
      <c r="B2234" s="1" t="s">
        <v>2383</v>
      </c>
      <c r="C2234" s="1" t="n">
        <v>1</v>
      </c>
      <c r="E2234" s="11" t="s">
        <v>79</v>
      </c>
      <c r="F2234" s="11" t="str">
        <f aca="false">IFERROR(__xludf.dummyfunction("GOOGLETRANSLATE(B2234,""en"",""ar"")"),"مكبر الصوت")</f>
        <v>مكبر الصوت</v>
      </c>
      <c r="G2234" s="3" t="n">
        <v>0</v>
      </c>
      <c r="H2234" s="3" t="n">
        <v>0</v>
      </c>
    </row>
    <row r="2235" customFormat="false" ht="14.25" hidden="false" customHeight="true" outlineLevel="0" collapsed="false">
      <c r="A2235" s="1"/>
      <c r="B2235" s="1" t="s">
        <v>2384</v>
      </c>
      <c r="C2235" s="1" t="n">
        <v>1</v>
      </c>
      <c r="E2235" s="11" t="s">
        <v>94</v>
      </c>
      <c r="F2235" s="11" t="str">
        <f aca="false">IFERROR(__xludf.dummyfunction("GOOGLETRANSLATE(B2235,""en"",""ar"")"),"يتهجى")</f>
        <v>يتهجى</v>
      </c>
      <c r="G2235" s="3" t="n">
        <v>0</v>
      </c>
      <c r="H2235" s="3" t="n">
        <v>0</v>
      </c>
    </row>
    <row r="2236" customFormat="false" ht="14.25" hidden="false" customHeight="true" outlineLevel="0" collapsed="false">
      <c r="A2236" s="1"/>
      <c r="B2236" s="1" t="s">
        <v>2385</v>
      </c>
      <c r="C2236" s="1" t="n">
        <v>1</v>
      </c>
      <c r="E2236" s="11" t="s">
        <v>119</v>
      </c>
      <c r="F2236" s="11" t="str">
        <f aca="false">IFERROR(__xludf.dummyfunction("GOOGLETRANSLATE(B2236,""en"",""ar"")"),"محطة")</f>
        <v>محطة</v>
      </c>
      <c r="G2236" s="3" t="n">
        <v>0</v>
      </c>
      <c r="H2236" s="3" t="n">
        <v>0</v>
      </c>
    </row>
    <row r="2237" customFormat="false" ht="14.25" hidden="false" customHeight="true" outlineLevel="0" collapsed="false">
      <c r="A2237" s="1"/>
      <c r="B2237" s="1" t="s">
        <v>2386</v>
      </c>
      <c r="C2237" s="1" t="n">
        <v>1</v>
      </c>
      <c r="E2237" s="11" t="s">
        <v>79</v>
      </c>
      <c r="F2237" s="11" t="str">
        <f aca="false">IFERROR(__xludf.dummyfunction("GOOGLETRANSLATE(B2237,""en"",""ar"")"),"شخص غريب")</f>
        <v>شخص غريب</v>
      </c>
      <c r="G2237" s="3" t="n">
        <v>0</v>
      </c>
      <c r="H2237" s="3" t="n">
        <v>0</v>
      </c>
    </row>
    <row r="2238" customFormat="false" ht="14.25" hidden="false" customHeight="true" outlineLevel="0" collapsed="false">
      <c r="A2238" s="1"/>
      <c r="B2238" s="1" t="s">
        <v>2387</v>
      </c>
      <c r="C2238" s="1" t="n">
        <v>1</v>
      </c>
      <c r="E2238" s="11" t="s">
        <v>94</v>
      </c>
      <c r="F2238" s="11" t="str">
        <f aca="false">IFERROR(__xludf.dummyfunction("GOOGLETRANSLATE(B2238,""en"",""ar"")"),"تمتد")</f>
        <v>تمتد</v>
      </c>
      <c r="G2238" s="3" t="n">
        <v>0</v>
      </c>
      <c r="H2238" s="3" t="n">
        <v>0</v>
      </c>
    </row>
    <row r="2239" customFormat="false" ht="14.25" hidden="false" customHeight="true" outlineLevel="0" collapsed="false">
      <c r="A2239" s="1"/>
      <c r="B2239" s="1" t="s">
        <v>2388</v>
      </c>
      <c r="C2239" s="1" t="n">
        <v>1</v>
      </c>
      <c r="E2239" s="11" t="s">
        <v>235</v>
      </c>
      <c r="F2239" s="11" t="str">
        <f aca="false">IFERROR(__xludf.dummyfunction("GOOGLETRANSLATE(B2239,""en"",""ar"")"),"غبي")</f>
        <v>غبي</v>
      </c>
      <c r="G2239" s="3" t="n">
        <v>0</v>
      </c>
      <c r="H2239" s="3" t="n">
        <v>0</v>
      </c>
    </row>
    <row r="2240" customFormat="false" ht="14.25" hidden="false" customHeight="true" outlineLevel="0" collapsed="false">
      <c r="A2240" s="1"/>
      <c r="B2240" s="1" t="s">
        <v>2389</v>
      </c>
      <c r="C2240" s="1" t="n">
        <v>1</v>
      </c>
      <c r="E2240" s="11" t="s">
        <v>12</v>
      </c>
      <c r="F2240" s="11" t="str">
        <f aca="false">IFERROR(__xludf.dummyfunction("GOOGLETRANSLATE(B2240,""en"",""ar"")"),"إرسال")</f>
        <v>إرسال</v>
      </c>
      <c r="G2240" s="3" t="n">
        <v>0</v>
      </c>
      <c r="H2240" s="3" t="n">
        <v>0</v>
      </c>
    </row>
    <row r="2241" customFormat="false" ht="14.25" hidden="false" customHeight="true" outlineLevel="0" collapsed="false">
      <c r="A2241" s="1"/>
      <c r="B2241" s="1" t="s">
        <v>2390</v>
      </c>
      <c r="C2241" s="1" t="n">
        <v>1</v>
      </c>
      <c r="E2241" s="11" t="s">
        <v>112</v>
      </c>
      <c r="F2241" s="11" t="str">
        <f aca="false">IFERROR(__xludf.dummyfunction("GOOGLETRANSLATE(B2241,""en"",""ar"")"),"حقيقي")</f>
        <v>حقيقي</v>
      </c>
      <c r="G2241" s="3" t="n">
        <v>0</v>
      </c>
      <c r="H2241" s="3" t="n">
        <v>0</v>
      </c>
    </row>
    <row r="2242" customFormat="false" ht="14.25" hidden="false" customHeight="true" outlineLevel="0" collapsed="false">
      <c r="A2242" s="1"/>
      <c r="B2242" s="1" t="s">
        <v>2391</v>
      </c>
      <c r="C2242" s="1" t="n">
        <v>1</v>
      </c>
      <c r="E2242" s="11" t="s">
        <v>12</v>
      </c>
      <c r="F2242" s="11" t="str">
        <f aca="false">IFERROR(__xludf.dummyfunction("GOOGLETRANSLATE(B2242,""en"",""ar"")"),"افترض")</f>
        <v>افترض</v>
      </c>
      <c r="G2242" s="3" t="n">
        <v>0</v>
      </c>
      <c r="H2242" s="3" t="n">
        <v>0</v>
      </c>
    </row>
    <row r="2243" customFormat="false" ht="14.25" hidden="false" customHeight="true" outlineLevel="0" collapsed="false">
      <c r="A2243" s="1"/>
      <c r="B2243" s="1" t="s">
        <v>2392</v>
      </c>
      <c r="C2243" s="1" t="n">
        <v>1</v>
      </c>
      <c r="E2243" s="11" t="s">
        <v>79</v>
      </c>
      <c r="F2243" s="11" t="str">
        <f aca="false">IFERROR(__xludf.dummyfunction("GOOGLETRANSLATE(B2243,""en"",""ar"")"),"الجراحة")</f>
        <v>الجراحة</v>
      </c>
      <c r="G2243" s="3" t="n">
        <v>0</v>
      </c>
      <c r="H2243" s="3" t="n">
        <v>0</v>
      </c>
    </row>
    <row r="2244" customFormat="false" ht="14.25" hidden="false" customHeight="true" outlineLevel="0" collapsed="false">
      <c r="A2244" s="1"/>
      <c r="B2244" s="1" t="s">
        <v>2393</v>
      </c>
      <c r="C2244" s="1" t="n">
        <v>1</v>
      </c>
      <c r="E2244" s="11" t="s">
        <v>112</v>
      </c>
      <c r="F2244" s="11" t="str">
        <f aca="false">IFERROR(__xludf.dummyfunction("GOOGLETRANSLATE(B2244,""en"",""ar"")"),"مشبوه")</f>
        <v>مشبوه</v>
      </c>
      <c r="G2244" s="3" t="n">
        <v>0</v>
      </c>
      <c r="H2244" s="3" t="n">
        <v>0</v>
      </c>
    </row>
    <row r="2245" customFormat="false" ht="14.25" hidden="false" customHeight="true" outlineLevel="0" collapsed="false">
      <c r="A2245" s="1"/>
      <c r="B2245" s="1" t="s">
        <v>2394</v>
      </c>
      <c r="C2245" s="1" t="n">
        <v>1</v>
      </c>
      <c r="E2245" s="11" t="s">
        <v>79</v>
      </c>
      <c r="F2245" s="11" t="str">
        <f aca="false">IFERROR(__xludf.dummyfunction("GOOGLETRANSLATE(B2245,""en"",""ar"")"),"تعاطف، عطف")</f>
        <v>تعاطف، عطف</v>
      </c>
      <c r="G2245" s="3" t="n">
        <v>0</v>
      </c>
      <c r="H2245" s="3" t="n">
        <v>0</v>
      </c>
    </row>
    <row r="2246" customFormat="false" ht="14.25" hidden="false" customHeight="true" outlineLevel="0" collapsed="false">
      <c r="A2246" s="1"/>
      <c r="B2246" s="1" t="s">
        <v>2395</v>
      </c>
      <c r="C2246" s="1" t="n">
        <v>1</v>
      </c>
      <c r="E2246" s="11" t="s">
        <v>79</v>
      </c>
      <c r="F2246" s="11" t="str">
        <f aca="false">IFERROR(__xludf.dummyfunction("GOOGLETRANSLATE(B2246,""en"",""ar"")"),"حكاية")</f>
        <v>حكاية</v>
      </c>
      <c r="G2246" s="3" t="n">
        <v>0</v>
      </c>
      <c r="H2246" s="3" t="n">
        <v>0</v>
      </c>
    </row>
    <row r="2247" customFormat="false" ht="14.25" hidden="false" customHeight="true" outlineLevel="0" collapsed="false">
      <c r="A2247" s="1"/>
      <c r="B2247" s="1" t="s">
        <v>2396</v>
      </c>
      <c r="C2247" s="1" t="n">
        <v>1</v>
      </c>
      <c r="E2247" s="11" t="s">
        <v>112</v>
      </c>
      <c r="F2247" s="11" t="str">
        <f aca="false">IFERROR(__xludf.dummyfunction("GOOGLETRANSLATE(B2247,""en"",""ar"")"),"طويل")</f>
        <v>طويل</v>
      </c>
      <c r="G2247" s="3" t="n">
        <v>0</v>
      </c>
      <c r="H2247" s="3" t="n">
        <v>0</v>
      </c>
    </row>
    <row r="2248" customFormat="false" ht="14.25" hidden="false" customHeight="true" outlineLevel="0" collapsed="false">
      <c r="A2248" s="1"/>
      <c r="B2248" s="1" t="s">
        <v>2397</v>
      </c>
      <c r="C2248" s="1" t="n">
        <v>1</v>
      </c>
      <c r="E2248" s="11" t="s">
        <v>94</v>
      </c>
      <c r="F2248" s="11" t="str">
        <f aca="false">IFERROR(__xludf.dummyfunction("GOOGLETRANSLATE(B2248,""en"",""ar"")"),"دمعة")</f>
        <v>دمعة</v>
      </c>
      <c r="G2248" s="3" t="n">
        <v>0</v>
      </c>
      <c r="H2248" s="3" t="n">
        <v>0</v>
      </c>
    </row>
    <row r="2249" customFormat="false" ht="14.25" hidden="false" customHeight="true" outlineLevel="0" collapsed="false">
      <c r="A2249" s="1"/>
      <c r="B2249" s="1" t="s">
        <v>2398</v>
      </c>
      <c r="C2249" s="1" t="n">
        <v>1</v>
      </c>
      <c r="E2249" s="11" t="s">
        <v>235</v>
      </c>
      <c r="F2249" s="11" t="str">
        <f aca="false">IFERROR(__xludf.dummyfunction("GOOGLETRANSLATE(B2249,""en"",""ar"")"),"مؤقت")</f>
        <v>مؤقت</v>
      </c>
      <c r="G2249" s="3" t="n">
        <v>0</v>
      </c>
      <c r="H2249" s="3" t="n">
        <v>0</v>
      </c>
    </row>
    <row r="2250" customFormat="false" ht="14.25" hidden="false" customHeight="true" outlineLevel="0" collapsed="false">
      <c r="A2250" s="1"/>
      <c r="B2250" s="1" t="s">
        <v>2399</v>
      </c>
      <c r="C2250" s="1" t="n">
        <v>1</v>
      </c>
      <c r="E2250" s="11" t="s">
        <v>79</v>
      </c>
      <c r="F2250" s="11" t="str">
        <f aca="false">IFERROR(__xludf.dummyfunction("GOOGLETRANSLATE(B2250,""en"",""ar"")"),"حلق")</f>
        <v>حلق</v>
      </c>
      <c r="G2250" s="3" t="n">
        <v>0</v>
      </c>
      <c r="H2250" s="3" t="n">
        <v>0</v>
      </c>
    </row>
    <row r="2251" customFormat="false" ht="14.25" hidden="false" customHeight="true" outlineLevel="0" collapsed="false">
      <c r="A2251" s="1"/>
      <c r="B2251" s="1" t="s">
        <v>2400</v>
      </c>
      <c r="C2251" s="1" t="n">
        <v>1</v>
      </c>
      <c r="E2251" s="11" t="s">
        <v>112</v>
      </c>
      <c r="F2251" s="11" t="str">
        <f aca="false">IFERROR(__xludf.dummyfunction("GOOGLETRANSLATE(B2251,""en"",""ar"")"),"صغير الحجم")</f>
        <v>صغير الحجم</v>
      </c>
      <c r="G2251" s="3" t="n">
        <v>0</v>
      </c>
      <c r="H2251" s="3" t="n">
        <v>0</v>
      </c>
    </row>
    <row r="2252" customFormat="false" ht="14.25" hidden="false" customHeight="true" outlineLevel="0" collapsed="false">
      <c r="A2252" s="1"/>
      <c r="B2252" s="1" t="s">
        <v>2401</v>
      </c>
      <c r="C2252" s="1" t="n">
        <v>1</v>
      </c>
      <c r="E2252" s="11" t="s">
        <v>119</v>
      </c>
      <c r="F2252" s="11" t="str">
        <f aca="false">IFERROR(__xludf.dummyfunction("GOOGLETRANSLATE(B2252,""en"",""ar"")"),"إصبع قدم")</f>
        <v>إصبع قدم</v>
      </c>
      <c r="G2252" s="3" t="n">
        <v>0</v>
      </c>
      <c r="H2252" s="3" t="n">
        <v>0</v>
      </c>
    </row>
    <row r="2253" customFormat="false" ht="14.25" hidden="false" customHeight="true" outlineLevel="0" collapsed="false">
      <c r="A2253" s="1"/>
      <c r="B2253" s="1" t="s">
        <v>2402</v>
      </c>
      <c r="C2253" s="1" t="n">
        <v>1</v>
      </c>
      <c r="E2253" s="11" t="s">
        <v>314</v>
      </c>
      <c r="F2253" s="11" t="str">
        <f aca="false">IFERROR(__xludf.dummyfunction("GOOGLETRANSLATE(B2253,""en"",""ar"")"),"غدا")</f>
        <v>غدا</v>
      </c>
      <c r="G2253" s="3" t="n">
        <v>0</v>
      </c>
      <c r="H2253" s="3" t="n">
        <v>0</v>
      </c>
    </row>
    <row r="2254" customFormat="false" ht="14.25" hidden="false" customHeight="true" outlineLevel="0" collapsed="false">
      <c r="A2254" s="1"/>
      <c r="B2254" s="1" t="s">
        <v>2403</v>
      </c>
      <c r="C2254" s="1" t="n">
        <v>1</v>
      </c>
      <c r="E2254" s="11" t="s">
        <v>119</v>
      </c>
      <c r="F2254" s="11" t="str">
        <f aca="false">IFERROR(__xludf.dummyfunction("GOOGLETRANSLATE(B2254,""en"",""ar"")"),"برج")</f>
        <v>برج</v>
      </c>
      <c r="G2254" s="3" t="n">
        <v>0</v>
      </c>
      <c r="H2254" s="3" t="n">
        <v>0</v>
      </c>
    </row>
    <row r="2255" customFormat="false" ht="14.25" hidden="false" customHeight="true" outlineLevel="0" collapsed="false">
      <c r="A2255" s="1"/>
      <c r="B2255" s="1" t="s">
        <v>2404</v>
      </c>
      <c r="C2255" s="1" t="n">
        <v>1</v>
      </c>
      <c r="E2255" s="11" t="s">
        <v>79</v>
      </c>
      <c r="F2255" s="11" t="str">
        <f aca="false">IFERROR(__xludf.dummyfunction("GOOGLETRANSLATE(B2255,""en"",""ar"")"),"مدرب")</f>
        <v>مدرب</v>
      </c>
      <c r="G2255" s="3" t="n">
        <v>0</v>
      </c>
      <c r="H2255" s="3" t="n">
        <v>0</v>
      </c>
    </row>
    <row r="2256" customFormat="false" ht="14.25" hidden="false" customHeight="true" outlineLevel="0" collapsed="false">
      <c r="A2256" s="1"/>
      <c r="B2256" s="1" t="s">
        <v>2405</v>
      </c>
      <c r="C2256" s="1" t="n">
        <v>1</v>
      </c>
      <c r="E2256" s="11" t="s">
        <v>12</v>
      </c>
      <c r="F2256" s="11" t="str">
        <f aca="false">IFERROR(__xludf.dummyfunction("GOOGLETRANSLATE(B2256,""en"",""ar"")"),"يترجم")</f>
        <v>يترجم</v>
      </c>
      <c r="G2256" s="3" t="n">
        <v>0</v>
      </c>
      <c r="H2256" s="3" t="n">
        <v>0</v>
      </c>
    </row>
    <row r="2257" customFormat="false" ht="14.25" hidden="false" customHeight="true" outlineLevel="0" collapsed="false">
      <c r="A2257" s="1"/>
      <c r="B2257" s="1" t="s">
        <v>2406</v>
      </c>
      <c r="C2257" s="1" t="n">
        <v>1</v>
      </c>
      <c r="E2257" s="11" t="s">
        <v>119</v>
      </c>
      <c r="F2257" s="11" t="str">
        <f aca="false">IFERROR(__xludf.dummyfunction("GOOGLETRANSLATE(B2257,""en"",""ar"")"),"شاحنة نقل")</f>
        <v>شاحنة نقل</v>
      </c>
      <c r="G2257" s="3" t="n">
        <v>0</v>
      </c>
      <c r="H2257" s="3" t="n">
        <v>0</v>
      </c>
    </row>
    <row r="2258" customFormat="false" ht="14.25" hidden="false" customHeight="true" outlineLevel="0" collapsed="false">
      <c r="A2258" s="1"/>
      <c r="B2258" s="1" t="s">
        <v>2407</v>
      </c>
      <c r="C2258" s="1" t="n">
        <v>1</v>
      </c>
      <c r="E2258" s="11" t="s">
        <v>79</v>
      </c>
      <c r="F2258" s="11" t="str">
        <f aca="false">IFERROR(__xludf.dummyfunction("GOOGLETRANSLATE(B2258,""en"",""ar"")"),"اخو الام")</f>
        <v>اخو الام</v>
      </c>
      <c r="G2258" s="3" t="n">
        <v>0</v>
      </c>
      <c r="H2258" s="3" t="n">
        <v>0</v>
      </c>
    </row>
    <row r="2259" customFormat="false" ht="14.25" hidden="false" customHeight="true" outlineLevel="0" collapsed="false">
      <c r="A2259" s="1"/>
      <c r="B2259" s="1" t="s">
        <v>2408</v>
      </c>
      <c r="C2259" s="1" t="n">
        <v>1</v>
      </c>
      <c r="E2259" s="11" t="s">
        <v>94</v>
      </c>
      <c r="F2259" s="11" t="str">
        <f aca="false">IFERROR(__xludf.dummyfunction("GOOGLETRANSLATE(B2259,""en"",""ar"")"),"استيقظ")</f>
        <v>استيقظ</v>
      </c>
      <c r="G2259" s="3" t="n">
        <v>0</v>
      </c>
      <c r="H2259" s="3" t="n">
        <v>0</v>
      </c>
    </row>
    <row r="2260" customFormat="false" ht="14.25" hidden="false" customHeight="true" outlineLevel="0" collapsed="false">
      <c r="A2260" s="1"/>
      <c r="B2260" s="1" t="s">
        <v>2409</v>
      </c>
      <c r="C2260" s="1" t="n">
        <v>1</v>
      </c>
      <c r="E2260" s="11" t="s">
        <v>336</v>
      </c>
      <c r="F2260" s="11" t="str">
        <f aca="false">IFERROR(__xludf.dummyfunction("GOOGLETRANSLATE(B2260,""en"",""ar"")"),"أسبوعي")</f>
        <v>أسبوعي</v>
      </c>
      <c r="G2260" s="3" t="n">
        <v>0</v>
      </c>
      <c r="H2260" s="3" t="n">
        <v>0</v>
      </c>
    </row>
    <row r="2261" customFormat="false" ht="14.25" hidden="false" customHeight="true" outlineLevel="0" collapsed="false">
      <c r="A2261" s="1"/>
      <c r="B2261" s="1" t="s">
        <v>2410</v>
      </c>
      <c r="C2261" s="1" t="n">
        <v>1</v>
      </c>
      <c r="E2261" s="11" t="s">
        <v>30</v>
      </c>
      <c r="F2261" s="11" t="str">
        <f aca="false">IFERROR(__xludf.dummyfunction("GOOGLETRANSLATE(B2261,""en"",""ar"")"),"من")</f>
        <v>من</v>
      </c>
      <c r="G2261" s="3" t="n">
        <v>0</v>
      </c>
      <c r="H2261" s="3" t="n">
        <v>0</v>
      </c>
    </row>
    <row r="2262" customFormat="false" ht="14.25" hidden="false" customHeight="true" outlineLevel="0" collapsed="false">
      <c r="A2262" s="1"/>
      <c r="B2262" s="1" t="s">
        <v>2411</v>
      </c>
      <c r="C2262" s="1" t="n">
        <v>1</v>
      </c>
      <c r="E2262" s="11" t="s">
        <v>119</v>
      </c>
      <c r="F2262" s="11" t="str">
        <f aca="false">IFERROR(__xludf.dummyfunction("GOOGLETRANSLATE(B2262,""en"",""ar"")"),"الشاهد")</f>
        <v>الشاهد</v>
      </c>
      <c r="G2262" s="3" t="n">
        <v>0</v>
      </c>
      <c r="H2262" s="3" t="n">
        <v>0</v>
      </c>
    </row>
    <row r="2263" customFormat="false" ht="14.25" hidden="false" customHeight="true" outlineLevel="0" collapsed="false">
      <c r="A2263" s="1"/>
      <c r="B2263" s="1" t="s">
        <v>2412</v>
      </c>
      <c r="C2263" s="1" t="n">
        <v>1</v>
      </c>
      <c r="E2263" s="11" t="s">
        <v>94</v>
      </c>
      <c r="F2263" s="11" t="str">
        <f aca="false">IFERROR(__xludf.dummyfunction("GOOGLETRANSLATE(B2263,""en"",""ar"")"),"لف")</f>
        <v>لف</v>
      </c>
      <c r="G2263" s="3" t="n">
        <v>0</v>
      </c>
      <c r="H2263" s="3" t="n">
        <v>0</v>
      </c>
    </row>
    <row r="2264" customFormat="false" ht="14.25" hidden="false" customHeight="true" outlineLevel="0" collapsed="false">
      <c r="A2264" s="1"/>
      <c r="B2264" s="1" t="s">
        <v>2413</v>
      </c>
      <c r="C2264" s="1" t="n">
        <v>1</v>
      </c>
      <c r="E2264" s="11" t="s">
        <v>314</v>
      </c>
      <c r="F2264" s="11" t="str">
        <f aca="false">IFERROR(__xludf.dummyfunction("GOOGLETRANSLATE(B2264,""en"",""ar"")"),"في الامس")</f>
        <v>في الامس</v>
      </c>
      <c r="G2264" s="3" t="n">
        <v>0</v>
      </c>
      <c r="H2264" s="3" t="n">
        <v>0</v>
      </c>
    </row>
    <row r="2265" customFormat="false" ht="14.25" hidden="false" customHeight="true" outlineLevel="0" collapsed="false">
      <c r="A2265" s="1"/>
      <c r="B2265" s="1" t="s">
        <v>2414</v>
      </c>
      <c r="C2265" s="1" t="n">
        <v>1</v>
      </c>
      <c r="E2265" s="11" t="s">
        <v>79</v>
      </c>
      <c r="F2265" s="11" t="str">
        <f aca="false">IFERROR(__xludf.dummyfunction("GOOGLETRANSLATE(B2265,""en"",""ar"")"),"شباب")</f>
        <v>شباب</v>
      </c>
      <c r="G2265" s="3" t="n">
        <v>0</v>
      </c>
      <c r="H2265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6" min="1" style="0" width="8.74"/>
    <col collapsed="false" customWidth="true" hidden="false" outlineLevel="0" max="26" min="7" style="0" width="14.38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6" min="1" style="0" width="8.74"/>
    <col collapsed="false" customWidth="true" hidden="false" outlineLevel="0" max="26" min="7" style="0" width="14.38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2015-08-17T09:38:49Z</dcterms:created>
  <dc:creator>ahmed</dc:creator>
  <dc:description/>
  <dc:language>en-US</dc:language>
  <cp:lastModifiedBy/>
  <dcterms:modified xsi:type="dcterms:W3CDTF">2021-09-08T00:19:50Z</dcterms:modified>
  <cp:revision>14</cp:revision>
  <dc:subject/>
  <dc:title/>
</cp:coreProperties>
</file>